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Março\"/>
    </mc:Choice>
  </mc:AlternateContent>
  <xr:revisionPtr revIDLastSave="0" documentId="8_{E30E6827-7849-40C3-935F-30C419B6C553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9" l="1"/>
  <c r="C2" i="50"/>
  <c r="C2" i="10"/>
  <c r="C2" i="11"/>
  <c r="C2" i="12"/>
  <c r="C2" i="39"/>
  <c r="C2" i="13"/>
  <c r="C2" i="51"/>
  <c r="C2" i="61"/>
  <c r="D3" i="61"/>
  <c r="D3" i="38"/>
  <c r="C2" i="38"/>
  <c r="D42" i="38"/>
  <c r="C41" i="38"/>
  <c r="D33" i="38"/>
  <c r="C32" i="38"/>
  <c r="D24" i="38"/>
  <c r="C23" i="38"/>
  <c r="C2" i="60"/>
  <c r="C2" i="8"/>
  <c r="C2" i="32"/>
  <c r="F3" i="1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<sst xmlns="http://schemas.openxmlformats.org/spreadsheetml/2006/main" count="114" uniqueCount="98">
  <si>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</si>
  <si>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</si>
  <si>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</si>
  <si>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</si>
  <si>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</si>
  <si>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</si>
  <si>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</si>
  <si>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</si>
  <si>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</si>
  <si>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</si>
  <si>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</si>
  <si>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</si>
  <si>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</si>
  <si>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</si>
  <si>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</si>
  <si>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</si>
  <si>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</si>
  <si>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</si>
  <si>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</si>
  <si>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</si>
  <si>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</si>
  <si>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</si>
  <si>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</si>
  <si>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</si>
  <si>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</si>
  <si>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</si>
  <si>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</si>
  <si>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</si>
  <si>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</si>
  <si>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</si>
  <si>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</si>
  <si>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</si>
  <si>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</si>
  <si>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</si>
  <si>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</si>
  <si>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</si>
  <si>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</si>
  <si>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</si>
  <si>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</si>
  <si>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</si>
  <si>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</si>
  <si>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</si>
  <si>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</si>
  <si>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</si>
  <si>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</si>
  <si>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</si>
  <si>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</si>
  <si>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</si>
  <si>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</si>
  <si>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</si>
  <si>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</si>
  <si>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</si>
  <si>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</si>
  <si>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</si>
  <si>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</si>
  <si>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</si>
  <si>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</si>
  <si>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</si>
  <si>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</si>
  <si>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</si>
  <si>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</si>
  <si>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</si>
  <si>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</si>
  <si>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dos 2º e 3º Ciclos Dr. Horácio Bento de Gouveia - Funchal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</si>
  <si>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</si>
  <si>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</si>
  <si>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</si>
  <si>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</si>
  <si>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</si>
  <si>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</si>
  <si>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</si>
  <si>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</si>
  <si>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</si>
  <si>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</si>
  <si>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</si>
  <si>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EHTM-Escola de Hotelaria e Turismo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</si>
  <si>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</si>
  <si>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</si>
  <si>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</si>
  <si>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</si>
  <si>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</si>
  <si>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</si>
  <si>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Professor Dr. Francisco de Freitas Branco - Porto Santo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</si>
  <si>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</si>
  <si>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</si>
  <si>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</si>
  <si>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</si>
  <si>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</si>
  <si>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</si>
  <si>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</si>
  <si>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</si>
  <si>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</si>
  <si>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</si>
  <si>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</si>
  <si>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</si>
  <si>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Instituto do Vinho, do Bordado e do Artesanato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</si>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</sst>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4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0" fontId="69" fillId="0" borderId="0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04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W25" sqref="W25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E24" sqref="E2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(janeiro-março)","TABLE VIII - Budget execution by organic and economic cross-classification (january-march)")</f>
        <v>TABLE VIII - Budget execution by organic and economic cross-classification (january-march)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5</v>
      </c>
    </row>
    <row r="4" spans="2:18" ht="27" customHeight="1">
      <c r="C4" s="253" t="str">
        <f>+IF(Índice!$D$2=1,"Despesa corrente","Current expenditure")</f>
        <v>Current expenditure</v>
      </c>
      <c r="D4" s="194">
        <v>3010</v>
      </c>
      <c r="E4" s="194">
        <v>490.55254000000002</v>
      </c>
      <c r="F4" s="194">
        <v>91780.506710000016</v>
      </c>
      <c r="G4" s="194">
        <v>5715.4170700000004</v>
      </c>
      <c r="H4" s="194">
        <v>38912.109420000001</v>
      </c>
      <c r="I4" s="194">
        <v>82670.111870000008</v>
      </c>
      <c r="J4" s="194">
        <v>4256.5790500000021</v>
      </c>
      <c r="K4" s="194">
        <v>3615.9074100000003</v>
      </c>
      <c r="L4" s="194">
        <v>4402.4009900000001</v>
      </c>
      <c r="M4" s="194">
        <v>1178.6970400000002</v>
      </c>
      <c r="N4" s="194">
        <v>4644.37374</v>
      </c>
      <c r="O4" s="194">
        <v>32403.579279999994</v>
      </c>
      <c r="P4" s="194">
        <v>273080.23512000003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392.59798000000001</v>
      </c>
      <c r="F5" s="196">
        <v>72619.52499000002</v>
      </c>
      <c r="G5" s="196">
        <v>1497.7224100000001</v>
      </c>
      <c r="H5" s="196">
        <v>6417.9270099999994</v>
      </c>
      <c r="I5" s="196">
        <v>1142.22217</v>
      </c>
      <c r="J5" s="196">
        <v>2649.108830000001</v>
      </c>
      <c r="K5" s="196">
        <v>1234.1909700000001</v>
      </c>
      <c r="L5" s="196">
        <v>1278.0111999999999</v>
      </c>
      <c r="M5" s="196">
        <v>1034.8373600000002</v>
      </c>
      <c r="N5" s="196">
        <v>3613.4193</v>
      </c>
      <c r="O5" s="196">
        <v>3487.5187999999994</v>
      </c>
      <c r="P5" s="196">
        <v>95367.081020000012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322.67302999999998</v>
      </c>
      <c r="F6" s="198">
        <v>62286.856390000015</v>
      </c>
      <c r="G6" s="198">
        <v>1289.4595100000001</v>
      </c>
      <c r="H6" s="198">
        <v>5345.3139299999993</v>
      </c>
      <c r="I6" s="198">
        <v>971.86959999999999</v>
      </c>
      <c r="J6" s="198">
        <v>2281.3580900000011</v>
      </c>
      <c r="K6" s="198">
        <v>1031.27988</v>
      </c>
      <c r="L6" s="198">
        <v>1102.31513</v>
      </c>
      <c r="M6" s="198">
        <v>868.12192000000027</v>
      </c>
      <c r="N6" s="198">
        <v>3063.2273999999998</v>
      </c>
      <c r="O6" s="198">
        <v>2998.6738799999994</v>
      </c>
      <c r="P6" s="198">
        <v>81561.148760000026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4.6453900000000008</v>
      </c>
      <c r="F7" s="198">
        <v>505.93210999999997</v>
      </c>
      <c r="G7" s="198">
        <v>5.4112999999999998</v>
      </c>
      <c r="H7" s="198">
        <v>213.07889</v>
      </c>
      <c r="I7" s="198">
        <v>3.4338300000000004</v>
      </c>
      <c r="J7" s="198">
        <v>5.1383800000000006</v>
      </c>
      <c r="K7" s="198">
        <v>41.837340000000005</v>
      </c>
      <c r="L7" s="198">
        <v>1.66876</v>
      </c>
      <c r="M7" s="198">
        <v>31.48516</v>
      </c>
      <c r="N7" s="198">
        <v>45.230729999999994</v>
      </c>
      <c r="O7" s="198">
        <v>20.212590000000002</v>
      </c>
      <c r="P7" s="198">
        <v>878.07447999999999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65.279559999999989</v>
      </c>
      <c r="F8" s="198">
        <v>9826.7364899999993</v>
      </c>
      <c r="G8" s="198">
        <v>202.85159999999999</v>
      </c>
      <c r="H8" s="198">
        <v>859.53419000000019</v>
      </c>
      <c r="I8" s="198">
        <v>166.91873999999999</v>
      </c>
      <c r="J8" s="198">
        <v>362.61235999999991</v>
      </c>
      <c r="K8" s="198">
        <v>161.07374999999999</v>
      </c>
      <c r="L8" s="198">
        <v>174.02731</v>
      </c>
      <c r="M8" s="198">
        <v>135.23027999999999</v>
      </c>
      <c r="N8" s="198">
        <v>504.96117000000004</v>
      </c>
      <c r="O8" s="198">
        <v>468.63232999999997</v>
      </c>
      <c r="P8" s="198">
        <v>12927.857779999998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97.954559999999987</v>
      </c>
      <c r="F9" s="196">
        <v>2995.8666999999991</v>
      </c>
      <c r="G9" s="196">
        <v>92.38824000000001</v>
      </c>
      <c r="H9" s="196">
        <v>7315.6587800000025</v>
      </c>
      <c r="I9" s="196">
        <v>101.28253000000001</v>
      </c>
      <c r="J9" s="196">
        <v>993.79002000000014</v>
      </c>
      <c r="K9" s="196">
        <v>16.931520000000003</v>
      </c>
      <c r="L9" s="196">
        <v>83.183949999999996</v>
      </c>
      <c r="M9" s="196">
        <v>87.674700000000001</v>
      </c>
      <c r="N9" s="196">
        <v>225.94071000000008</v>
      </c>
      <c r="O9" s="196">
        <v>28905.588549999997</v>
      </c>
      <c r="P9" s="196">
        <v>40916.260260000003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22.906109999999998</v>
      </c>
      <c r="F10" s="198">
        <v>1457.7129500000003</v>
      </c>
      <c r="G10" s="198">
        <v>2.1024900000000004</v>
      </c>
      <c r="H10" s="198">
        <v>57.719370000000019</v>
      </c>
      <c r="I10" s="198">
        <v>9.4378300000000017</v>
      </c>
      <c r="J10" s="198">
        <v>35.438629999999996</v>
      </c>
      <c r="K10" s="198">
        <v>1.3156099999999999</v>
      </c>
      <c r="L10" s="198">
        <v>0</v>
      </c>
      <c r="M10" s="198">
        <v>0</v>
      </c>
      <c r="N10" s="198">
        <v>29.809909999999999</v>
      </c>
      <c r="O10" s="198">
        <v>145.69648999999998</v>
      </c>
      <c r="P10" s="198">
        <v>1762.1393900000005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75.048449999999988</v>
      </c>
      <c r="F11" s="198">
        <v>1538.1537499999988</v>
      </c>
      <c r="G11" s="198">
        <v>90.285750000000007</v>
      </c>
      <c r="H11" s="198">
        <v>7257.9394100000027</v>
      </c>
      <c r="I11" s="198">
        <v>91.844700000000003</v>
      </c>
      <c r="J11" s="198">
        <v>958.35139000000015</v>
      </c>
      <c r="K11" s="198">
        <v>15.615910000000001</v>
      </c>
      <c r="L11" s="198">
        <v>83.183949999999996</v>
      </c>
      <c r="M11" s="198">
        <v>87.674700000000001</v>
      </c>
      <c r="N11" s="198">
        <v>196.13080000000008</v>
      </c>
      <c r="O11" s="198">
        <v>28759.892059999998</v>
      </c>
      <c r="P11" s="198">
        <v>39154.120869999999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3.8998400000000002</v>
      </c>
      <c r="G12" s="198">
        <v>7.4400000000000004E-3</v>
      </c>
      <c r="H12" s="198">
        <v>23500.841940000002</v>
      </c>
      <c r="I12" s="198">
        <v>8.9650000000000007E-2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23504.838870000003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3010</v>
      </c>
      <c r="E13" s="196">
        <v>0</v>
      </c>
      <c r="F13" s="196">
        <v>16146.707459999998</v>
      </c>
      <c r="G13" s="196">
        <v>1209.9869100000001</v>
      </c>
      <c r="H13" s="196">
        <v>1530.5326799999998</v>
      </c>
      <c r="I13" s="196">
        <v>81426.462650000001</v>
      </c>
      <c r="J13" s="196">
        <v>612.85306000000003</v>
      </c>
      <c r="K13" s="196">
        <v>2364.7849200000001</v>
      </c>
      <c r="L13" s="196">
        <v>1802.39805</v>
      </c>
      <c r="M13" s="196">
        <v>3.7444800000000003</v>
      </c>
      <c r="N13" s="196">
        <v>799.26206999999999</v>
      </c>
      <c r="O13" s="196">
        <v>7.7306799999999996</v>
      </c>
      <c r="P13" s="196">
        <v>108914.46295999999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3010</v>
      </c>
      <c r="E14" s="200">
        <v>0</v>
      </c>
      <c r="F14" s="200">
        <v>5091.4398900000006</v>
      </c>
      <c r="G14" s="200">
        <v>1205.9931100000001</v>
      </c>
      <c r="H14" s="200">
        <v>1483.0696499999999</v>
      </c>
      <c r="I14" s="200">
        <v>81419.980710000003</v>
      </c>
      <c r="J14" s="200">
        <v>0</v>
      </c>
      <c r="K14" s="200">
        <v>1174.5090299999999</v>
      </c>
      <c r="L14" s="200">
        <v>1801.61805</v>
      </c>
      <c r="M14" s="200">
        <v>0</v>
      </c>
      <c r="N14" s="200">
        <v>742.09078</v>
      </c>
      <c r="O14" s="200">
        <v>0</v>
      </c>
      <c r="P14" s="200">
        <v>95928.701220000003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3010</v>
      </c>
      <c r="E16" s="198">
        <v>0</v>
      </c>
      <c r="F16" s="198">
        <v>5091.4398900000006</v>
      </c>
      <c r="G16" s="198">
        <v>1205.9931100000001</v>
      </c>
      <c r="H16" s="198">
        <v>1483.0696499999999</v>
      </c>
      <c r="I16" s="198">
        <v>81419.980710000003</v>
      </c>
      <c r="J16" s="198">
        <v>0</v>
      </c>
      <c r="K16" s="198">
        <v>1174.5090299999999</v>
      </c>
      <c r="L16" s="198">
        <v>1801.61805</v>
      </c>
      <c r="M16" s="198">
        <v>0</v>
      </c>
      <c r="N16" s="198">
        <v>742.09078</v>
      </c>
      <c r="O16" s="198">
        <v>0</v>
      </c>
      <c r="P16" s="198">
        <v>95928.701220000003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0</v>
      </c>
      <c r="F19" s="200">
        <v>11055.267569999998</v>
      </c>
      <c r="G19" s="200">
        <v>3.9938000000000002</v>
      </c>
      <c r="H19" s="200">
        <v>47.463030000000003</v>
      </c>
      <c r="I19" s="200">
        <v>6.4819399999999998</v>
      </c>
      <c r="J19" s="200">
        <v>612.85306000000003</v>
      </c>
      <c r="K19" s="200">
        <v>1190.2758899999999</v>
      </c>
      <c r="L19" s="200">
        <v>0.78</v>
      </c>
      <c r="M19" s="200">
        <v>3.7444800000000003</v>
      </c>
      <c r="N19" s="200">
        <v>57.171289999999999</v>
      </c>
      <c r="O19" s="200">
        <v>7.7306799999999996</v>
      </c>
      <c r="P19" s="200">
        <v>12985.76174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3584.7688700000008</v>
      </c>
      <c r="G20" s="198">
        <v>0</v>
      </c>
      <c r="H20" s="198">
        <v>0</v>
      </c>
      <c r="I20" s="198">
        <v>0</v>
      </c>
      <c r="J20" s="198">
        <v>35</v>
      </c>
      <c r="K20" s="198">
        <v>0</v>
      </c>
      <c r="L20" s="198">
        <v>0</v>
      </c>
      <c r="M20" s="198">
        <v>0</v>
      </c>
      <c r="N20" s="198">
        <v>0</v>
      </c>
      <c r="O20" s="198">
        <v>0.58341999999999994</v>
      </c>
      <c r="P20" s="198">
        <v>3620.3522900000007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5838.6666699999987</v>
      </c>
      <c r="G22" s="198">
        <v>0</v>
      </c>
      <c r="H22" s="198">
        <v>0</v>
      </c>
      <c r="I22" s="198">
        <v>0</v>
      </c>
      <c r="J22" s="198">
        <v>497.44915000000003</v>
      </c>
      <c r="K22" s="198">
        <v>1171.2507699999999</v>
      </c>
      <c r="L22" s="198">
        <v>0</v>
      </c>
      <c r="M22" s="198">
        <v>0</v>
      </c>
      <c r="N22" s="198">
        <v>46.25</v>
      </c>
      <c r="O22" s="198">
        <v>0</v>
      </c>
      <c r="P22" s="198">
        <v>7553.6165899999987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1631.8320299999998</v>
      </c>
      <c r="G23" s="198">
        <v>3.9938000000000002</v>
      </c>
      <c r="H23" s="198">
        <v>27.979030000000002</v>
      </c>
      <c r="I23" s="198">
        <v>6.4819399999999998</v>
      </c>
      <c r="J23" s="198">
        <v>53.458909999999996</v>
      </c>
      <c r="K23" s="198">
        <v>19.025120000000001</v>
      </c>
      <c r="L23" s="198">
        <v>0.78</v>
      </c>
      <c r="M23" s="198">
        <v>3.7444800000000003</v>
      </c>
      <c r="N23" s="198">
        <v>10.921290000000001</v>
      </c>
      <c r="O23" s="198">
        <v>7.1472599999999993</v>
      </c>
      <c r="P23" s="198">
        <v>1765.3638599999997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26.945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46.429000000000002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2914.6049499999999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42.258849999999995</v>
      </c>
      <c r="N25" s="198">
        <v>0</v>
      </c>
      <c r="O25" s="198">
        <v>0</v>
      </c>
      <c r="P25" s="198">
        <v>4190.5727999999999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14.507720000000003</v>
      </c>
      <c r="G26" s="198">
        <v>0.70711999999999997</v>
      </c>
      <c r="H26" s="198">
        <v>147.14901</v>
      </c>
      <c r="I26" s="198">
        <v>5.4869999999999995E-2</v>
      </c>
      <c r="J26" s="198">
        <v>0.82713999999999999</v>
      </c>
      <c r="K26" s="198">
        <v>0</v>
      </c>
      <c r="L26" s="198">
        <v>5.0987900000000002</v>
      </c>
      <c r="M26" s="198">
        <v>10.181649999999999</v>
      </c>
      <c r="N26" s="198">
        <v>5.7516600000000002</v>
      </c>
      <c r="O26" s="198">
        <v>2.74125</v>
      </c>
      <c r="P26" s="198">
        <v>187.01920999999999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10</v>
      </c>
      <c r="E27" s="32">
        <v>0</v>
      </c>
      <c r="F27" s="32">
        <v>3234.5276999999987</v>
      </c>
      <c r="G27" s="32">
        <v>620.59481000000005</v>
      </c>
      <c r="H27" s="32">
        <v>1126.70739</v>
      </c>
      <c r="I27" s="32">
        <v>9.526209999999999</v>
      </c>
      <c r="J27" s="32">
        <v>178.06985</v>
      </c>
      <c r="K27" s="32">
        <v>0</v>
      </c>
      <c r="L27" s="32">
        <v>665.58591000000001</v>
      </c>
      <c r="M27" s="32">
        <v>157.94000999999997</v>
      </c>
      <c r="N27" s="32">
        <v>2886.3037900000004</v>
      </c>
      <c r="O27" s="32">
        <v>6447.2459199999994</v>
      </c>
      <c r="P27" s="32">
        <v>15336.501589999998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0</v>
      </c>
      <c r="F28" s="198">
        <v>1399.9873599999992</v>
      </c>
      <c r="G28" s="198">
        <v>0</v>
      </c>
      <c r="H28" s="198">
        <v>375.14896999999996</v>
      </c>
      <c r="I28" s="198">
        <v>0</v>
      </c>
      <c r="J28" s="198">
        <v>124.96813</v>
      </c>
      <c r="K28" s="198">
        <v>0</v>
      </c>
      <c r="L28" s="198">
        <v>121.11762</v>
      </c>
      <c r="M28" s="198">
        <v>157.94000999999997</v>
      </c>
      <c r="N28" s="198">
        <v>13.282789999999997</v>
      </c>
      <c r="O28" s="198">
        <v>5934.1677399999999</v>
      </c>
      <c r="P28" s="198">
        <v>8126.612619999999</v>
      </c>
    </row>
    <row r="29" spans="2:16" ht="15" customHeight="1">
      <c r="C29" s="104" t="str">
        <f>+IF(Índice!$D$2=1,"Transferências capital","Capital transfers")</f>
        <v>Capital transfers</v>
      </c>
      <c r="D29" s="196">
        <v>10</v>
      </c>
      <c r="E29" s="196">
        <v>0</v>
      </c>
      <c r="F29" s="196">
        <v>1834.5403399999998</v>
      </c>
      <c r="G29" s="196">
        <v>620.59481000000005</v>
      </c>
      <c r="H29" s="196">
        <v>751.55841999999996</v>
      </c>
      <c r="I29" s="196">
        <v>9.526209999999999</v>
      </c>
      <c r="J29" s="196">
        <v>53.10172</v>
      </c>
      <c r="K29" s="196">
        <v>0</v>
      </c>
      <c r="L29" s="196">
        <v>544.46829000000002</v>
      </c>
      <c r="M29" s="196">
        <v>0</v>
      </c>
      <c r="N29" s="196">
        <v>2873.0210000000002</v>
      </c>
      <c r="O29" s="196">
        <v>513.07817999999997</v>
      </c>
      <c r="P29" s="196">
        <v>7209.88897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10</v>
      </c>
      <c r="E30" s="200">
        <v>0</v>
      </c>
      <c r="F30" s="200">
        <v>1739.3217699999998</v>
      </c>
      <c r="G30" s="200">
        <v>620.59481000000005</v>
      </c>
      <c r="H30" s="200">
        <v>732.84177</v>
      </c>
      <c r="I30" s="200">
        <v>9.526209999999999</v>
      </c>
      <c r="J30" s="200">
        <v>0</v>
      </c>
      <c r="K30" s="200">
        <v>0</v>
      </c>
      <c r="L30" s="200">
        <v>121.96860000000001</v>
      </c>
      <c r="M30" s="200">
        <v>0</v>
      </c>
      <c r="N30" s="200">
        <v>2873.0210000000002</v>
      </c>
      <c r="O30" s="200">
        <v>513.07817999999997</v>
      </c>
      <c r="P30" s="200">
        <v>6620.3523400000013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2873.0210000000002</v>
      </c>
      <c r="O31" s="198">
        <v>0</v>
      </c>
      <c r="P31" s="198">
        <v>2873.0210000000002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10</v>
      </c>
      <c r="E32" s="198">
        <v>0</v>
      </c>
      <c r="F32" s="198">
        <v>1739.3217699999998</v>
      </c>
      <c r="G32" s="198">
        <v>620.59481000000005</v>
      </c>
      <c r="H32" s="198">
        <v>302.15285999999998</v>
      </c>
      <c r="I32" s="198">
        <v>9.526209999999999</v>
      </c>
      <c r="J32" s="198">
        <v>0</v>
      </c>
      <c r="K32" s="198">
        <v>0</v>
      </c>
      <c r="L32" s="198">
        <v>121.96860000000001</v>
      </c>
      <c r="M32" s="198">
        <v>0</v>
      </c>
      <c r="N32" s="198">
        <v>0</v>
      </c>
      <c r="O32" s="198">
        <v>513.07817999999997</v>
      </c>
      <c r="P32" s="198">
        <v>3316.6424300000003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430.68890999999996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430.68890999999996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95.21857</v>
      </c>
      <c r="G35" s="200">
        <v>0</v>
      </c>
      <c r="H35" s="200">
        <v>18.716650000000001</v>
      </c>
      <c r="I35" s="200">
        <v>0</v>
      </c>
      <c r="J35" s="200">
        <v>53.10172</v>
      </c>
      <c r="K35" s="200">
        <v>0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589.53663000000006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3020</v>
      </c>
      <c r="E38" s="204">
        <v>490.55254000000002</v>
      </c>
      <c r="F38" s="204">
        <v>95015.034410000022</v>
      </c>
      <c r="G38" s="204">
        <v>6336.01188</v>
      </c>
      <c r="H38" s="204">
        <v>40038.816810000004</v>
      </c>
      <c r="I38" s="204">
        <v>82679.638080000004</v>
      </c>
      <c r="J38" s="204">
        <v>4434.648900000002</v>
      </c>
      <c r="K38" s="204">
        <v>3615.9074100000003</v>
      </c>
      <c r="L38" s="204">
        <v>5067.9868999999999</v>
      </c>
      <c r="M38" s="204">
        <v>1336.6370500000003</v>
      </c>
      <c r="N38" s="204">
        <v>7530.6775300000008</v>
      </c>
      <c r="O38" s="204">
        <v>38850.825199999992</v>
      </c>
      <c r="P38" s="204">
        <v>288416.73670999997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179.10048999999998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0</v>
      </c>
      <c r="P40" s="208">
        <v>320.47448999999995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52783.964859999993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52783.964859999993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22010.334220000004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Note: Organic structure approved by Regional Legislative Decree nr. 18/2020/M of january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Source: Regional Finance Secretariat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E24" sqref="E2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(janeiro-março)","TABLE IX - RPEs global balance (january-march)")</f>
        <v>TABLE IX - RPEs global balance (january-march)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11137.257679999966</v>
      </c>
      <c r="E5" s="82">
        <v>34442.34928999994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E24" sqref="E24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(janeiro-março)","TABLE X - ASFs and RPEs budget execution (january-march)")</f>
        <v>TABLE X - ASFs and RPEs budget execution (january-march)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2247.0108299999993</v>
      </c>
      <c r="E4" s="98">
        <v>34442.34928999994</v>
      </c>
      <c r="F4" s="98">
        <v>36689.360119999939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130425.03849000001</v>
      </c>
      <c r="E7" s="74">
        <v>75856.139140000043</v>
      </c>
      <c r="F7" s="74">
        <v>206281.17763000005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2255.6499199999994</v>
      </c>
      <c r="E8" s="74">
        <v>34719.279999999941</v>
      </c>
      <c r="F8" s="74">
        <v>36974.929919999937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1231.394140000004</v>
      </c>
      <c r="E9" s="74">
        <v>30204.093359999941</v>
      </c>
      <c r="F9" s="74">
        <v>31435.487499999959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1015.6166900000003</v>
      </c>
      <c r="E10" s="74">
        <v>4238.2559299999994</v>
      </c>
      <c r="F10" s="74">
        <v>5253.8726200000001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E24" sqref="E24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(janeiro-março)","TABLE XI - ASFs and RPEs budget execution (january-march)")</f>
        <v>TABLE XI - ASFs and RPEs budget execution (january-march)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130350.05219</v>
      </c>
      <c r="E4" s="108">
        <v>103078.40565999999</v>
      </c>
      <c r="F4" s="108">
        <v>233428.45785000001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1175.2670700000001</v>
      </c>
      <c r="E8" s="74">
        <v>2952.0608500000003</v>
      </c>
      <c r="F8" s="74">
        <v>4127.3279200000006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127453.24286</v>
      </c>
      <c r="E9" s="74">
        <v>90053.510829999999</v>
      </c>
      <c r="F9" s="74">
        <v>217506.75368999998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6103.22516</v>
      </c>
      <c r="E10" s="74">
        <v>492.00574999999998</v>
      </c>
      <c r="F10" s="74">
        <v>6595.2309100000002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121324.89112</v>
      </c>
      <c r="E11" s="74">
        <v>89561.505080000003</v>
      </c>
      <c r="F11" s="74">
        <v>210886.39620000002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1351.4714300000001</v>
      </c>
      <c r="E12" s="74">
        <v>5854.10059</v>
      </c>
      <c r="F12" s="74">
        <v>7205.5720199999996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370.07082999999994</v>
      </c>
      <c r="E13" s="74">
        <v>4218.7333900000003</v>
      </c>
      <c r="F13" s="74">
        <v>4588.80422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2330.6362200000003</v>
      </c>
      <c r="E14" s="83">
        <v>7497.0134799999996</v>
      </c>
      <c r="F14" s="83">
        <v>9827.6496999999999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181.6</v>
      </c>
      <c r="F15" s="34">
        <v>181.6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2316.3735100000004</v>
      </c>
      <c r="E16" s="34">
        <v>6692.5512099999996</v>
      </c>
      <c r="F16" s="74">
        <v>9008.9247199999991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1712.3477</v>
      </c>
      <c r="E17" s="34">
        <v>2749.3287800000003</v>
      </c>
      <c r="F17" s="74">
        <v>4461.6764800000001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604.02581000000032</v>
      </c>
      <c r="E18" s="74">
        <v>3943.2224299999993</v>
      </c>
      <c r="F18" s="74">
        <v>4547.2482399999999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Effective revenue</v>
      </c>
      <c r="D20" s="83">
        <v>132680.68841</v>
      </c>
      <c r="E20" s="83">
        <v>110575.41913999998</v>
      </c>
      <c r="F20" s="83">
        <v>243256.10754999999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129118.65805</v>
      </c>
      <c r="E22" s="83">
        <v>72874.312300000049</v>
      </c>
      <c r="F22" s="83">
        <v>201992.97035000005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12219.289630000008</v>
      </c>
      <c r="E23" s="74">
        <v>54838.040760000054</v>
      </c>
      <c r="F23" s="74">
        <v>67057.330390000061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20992.72171999999</v>
      </c>
      <c r="E24" s="74">
        <v>14274.780649999997</v>
      </c>
      <c r="F24" s="74">
        <v>35267.502369999987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8.6390899999999977</v>
      </c>
      <c r="E25" s="74">
        <v>276.93070999999998</v>
      </c>
      <c r="F25" s="74">
        <v>285.56979999999999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94598.093000000008</v>
      </c>
      <c r="E26" s="74">
        <v>3280.941150000001</v>
      </c>
      <c r="F26" s="74">
        <v>97879.034150000007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686.37194000000011</v>
      </c>
      <c r="E27" s="74">
        <v>0</v>
      </c>
      <c r="F27" s="59">
        <v>686.37194000000011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93911.721060000011</v>
      </c>
      <c r="E28" s="74">
        <v>3280.941150000001</v>
      </c>
      <c r="F28" s="59">
        <v>97192.66221000001</v>
      </c>
    </row>
    <row r="29" spans="2:6" ht="11.25" customHeight="1">
      <c r="C29" s="104" t="str">
        <f>+IF(Índice!$D$2=1,"Subsídios","Subsidies")</f>
        <v>Subsidies</v>
      </c>
      <c r="D29" s="74">
        <v>1251.6770900000001</v>
      </c>
      <c r="E29" s="74">
        <v>0</v>
      </c>
      <c r="F29" s="74">
        <v>1251.6770900000001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48.237519999999996</v>
      </c>
      <c r="E30" s="74">
        <v>203.61903000000001</v>
      </c>
      <c r="F30" s="74">
        <v>251.85655</v>
      </c>
    </row>
    <row r="31" spans="2:6" ht="11.25" customHeight="1">
      <c r="C31" s="110" t="str">
        <f>+IF(Índice!$D$2=1,"Despesa de capital","Capital expenditure")</f>
        <v>Capital expenditure</v>
      </c>
      <c r="D31" s="83">
        <v>1315.01953</v>
      </c>
      <c r="E31" s="83">
        <v>3258.7575500000003</v>
      </c>
      <c r="F31" s="83">
        <v>4573.7770799999998</v>
      </c>
    </row>
    <row r="32" spans="2:6" ht="11.25" customHeight="1">
      <c r="C32" s="104" t="str">
        <f>+IF(Índice!$D$2=1,"Investimento","Investment")</f>
        <v>Investment</v>
      </c>
      <c r="D32" s="74">
        <v>399.23827999999992</v>
      </c>
      <c r="E32" s="74">
        <v>3240.7575500000003</v>
      </c>
      <c r="F32" s="74">
        <v>3639.9958300000003</v>
      </c>
    </row>
    <row r="33" spans="3:6" ht="11.25" customHeight="1">
      <c r="C33" s="104" t="str">
        <f>+IF(Índice!$D$2=1,"Transferências capital","Capital transfers")</f>
        <v>Capital transfers</v>
      </c>
      <c r="D33" s="74">
        <v>915.78125000000011</v>
      </c>
      <c r="E33" s="74">
        <v>18</v>
      </c>
      <c r="F33" s="74">
        <v>933.78125000000011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130433.67758</v>
      </c>
      <c r="E36" s="83">
        <v>76133.069850000044</v>
      </c>
      <c r="F36" s="83">
        <v>206566.74743000005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2052.2748799999999</v>
      </c>
      <c r="E38" s="35">
        <v>96.616550000000004</v>
      </c>
      <c r="F38" s="35">
        <v>2148.8914300000001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333.92914000000002</v>
      </c>
      <c r="F39" s="35">
        <v>333.92914000000002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2247.0108299999993</v>
      </c>
      <c r="E44" s="114">
        <v>34442.34928999994</v>
      </c>
      <c r="F44" s="114">
        <v>36689.360119999939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E24" sqref="E2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(março)","TABLE XII - ASFs and RPEs budget execution (march)")</f>
        <v>TABLE XII - ASFs and RPEs budget execution (march)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+IF(Índice!$D$2=1,"março 2024","march 2024")</f>
        <v>march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43300.284899999999</v>
      </c>
      <c r="E5" s="317">
        <v>29835.417260000002</v>
      </c>
      <c r="F5" s="317">
        <v>73135.702160000001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43300.284899999999</v>
      </c>
      <c r="E9" s="74">
        <v>29835.417260000002</v>
      </c>
      <c r="F9" s="74">
        <v>73135.702160000001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42317.580889999997</v>
      </c>
      <c r="E10" s="74">
        <v>26574.214540000001</v>
      </c>
      <c r="F10" s="74">
        <v>68891.795429999998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714.4762300000001</v>
      </c>
      <c r="E11" s="83">
        <v>2415.3185400000002</v>
      </c>
      <c r="F11" s="83">
        <v>3129.7947700000004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</v>
      </c>
      <c r="F12" s="34">
        <v>0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713.40108000000009</v>
      </c>
      <c r="E13" s="34">
        <v>1799.4624400000005</v>
      </c>
      <c r="F13" s="74">
        <v>2512.8635200000008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44014.761129999999</v>
      </c>
      <c r="E15" s="83">
        <v>32250.735800000002</v>
      </c>
      <c r="F15" s="83">
        <v>76265.496929999994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43693.570600000021</v>
      </c>
      <c r="E17" s="83">
        <v>24633.448040000054</v>
      </c>
      <c r="F17" s="83">
        <v>68327.018640000082</v>
      </c>
    </row>
    <row r="18" spans="3:6" ht="11.25" customHeight="1">
      <c r="C18" s="104" t="str">
        <f>+IF(Índice!$D$2=1,"Consumo público","Public consumption")</f>
        <v>Public consumption</v>
      </c>
      <c r="D18" s="74">
        <v>13746.781399999994</v>
      </c>
      <c r="E18" s="74">
        <v>23261.960170000049</v>
      </c>
      <c r="F18" s="74">
        <v>37008.741570000042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4180.546740000007</v>
      </c>
      <c r="E19" s="74">
        <v>15265.335830000051</v>
      </c>
      <c r="F19" s="74">
        <v>19445.88257000006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9566.2346599999873</v>
      </c>
      <c r="E20" s="74">
        <v>7996.6243399999994</v>
      </c>
      <c r="F20" s="74">
        <v>17562.858999999986</v>
      </c>
    </row>
    <row r="21" spans="3:6" ht="11.25" customHeight="1">
      <c r="C21" s="104" t="str">
        <f>+IF(Índice!$D$2=1,"Subsídios","Subsidies")</f>
        <v>Subsidies</v>
      </c>
      <c r="D21" s="74">
        <v>689.95454000000018</v>
      </c>
      <c r="E21" s="74">
        <v>0</v>
      </c>
      <c r="F21" s="74">
        <v>689.95454000000018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8.3790099999999992</v>
      </c>
      <c r="E22" s="74">
        <v>202.19232999999997</v>
      </c>
      <c r="F22" s="59">
        <v>210.57133999999996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29248.455650000029</v>
      </c>
      <c r="E23" s="74">
        <v>1169.2955400000014</v>
      </c>
      <c r="F23" s="59">
        <v>30417.751190000032</v>
      </c>
    </row>
    <row r="24" spans="3:6" ht="11.25" customHeight="1">
      <c r="C24" s="110" t="str">
        <f>+IF(Índice!$D$2=1,"Despesa de capital","Capital expenditure")</f>
        <v>Capital expenditure</v>
      </c>
      <c r="D24" s="83">
        <v>358.45026000000007</v>
      </c>
      <c r="E24" s="83">
        <v>1043.7702500000005</v>
      </c>
      <c r="F24" s="83">
        <v>1402.2205100000006</v>
      </c>
    </row>
    <row r="25" spans="3:6" ht="11.25" customHeight="1">
      <c r="C25" s="104" t="str">
        <f>+IF(Índice!$D$2=1,"Investimento","Investment")</f>
        <v>Investment</v>
      </c>
      <c r="D25" s="74">
        <v>158.79174999999992</v>
      </c>
      <c r="E25" s="74">
        <v>1025.7702500000005</v>
      </c>
      <c r="F25" s="74">
        <v>1184.5620000000004</v>
      </c>
    </row>
    <row r="26" spans="3:6" ht="11.25" customHeight="1">
      <c r="C26" s="104" t="str">
        <f>+IF(Índice!$D$2=1,"Transferências capital","Capital transfers")</f>
        <v>Capital transfers</v>
      </c>
      <c r="D26" s="74">
        <v>199.65851000000012</v>
      </c>
      <c r="E26" s="74">
        <v>18</v>
      </c>
      <c r="F26" s="74">
        <v>217.65851000000012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44052.020860000019</v>
      </c>
      <c r="E29" s="83">
        <v>25677.218290000055</v>
      </c>
      <c r="F29" s="83">
        <v>69729.239150000067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-37.259730000019772</v>
      </c>
      <c r="E31" s="319">
        <v>6573.5175099999469</v>
      </c>
      <c r="F31" s="319">
        <v>6536.2577799999272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D24" sqref="D24:F2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março de 2024 (valores acumulados)","Table XIII- Accounts payable of the Regional Administration, march (accumulated)")</f>
        <v>Table XIII- Accounts payable of the Regional Administration, march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8" t="s">
        <v>7</v>
      </c>
      <c r="D3" s="339" t="str">
        <f>+IF(Índice!$D$2=1,"março 2024","march 2024")</f>
        <v>march 2024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Change from period initial stock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Accumulated</v>
      </c>
      <c r="E4" s="342"/>
      <c r="F4" s="342"/>
      <c r="G4" s="343" t="str">
        <f>+IF(Índice!$D$2=1,"Passivo","Liabilities")</f>
        <v>Liabilities</v>
      </c>
      <c r="H4" s="343" t="str">
        <f>+IF(Índice!$D$2=1,"Contas a pagar","Accounts payable")</f>
        <v>Accounts payable</v>
      </c>
      <c r="I4" s="345" t="str">
        <f>+IF(Índice!$D$2=1,"Pagamentos em atraso","Late payments")</f>
        <v>Late payments</v>
      </c>
    </row>
    <row r="5" spans="2:11" ht="22.5">
      <c r="B5" s="29"/>
      <c r="C5" s="338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4"/>
      <c r="H5" s="344"/>
      <c r="I5" s="346"/>
    </row>
    <row r="6" spans="2:11">
      <c r="B6" s="29"/>
      <c r="C6" s="119" t="str">
        <f>+IF(Índice!$D$2=1,"Despesa corrente","Current expenditure")</f>
        <v>Current expenditure</v>
      </c>
      <c r="D6" s="162">
        <v>181449716.83000004</v>
      </c>
      <c r="E6" s="162">
        <v>167053596.28000003</v>
      </c>
      <c r="F6" s="162">
        <v>53510671.899999991</v>
      </c>
      <c r="G6" s="91">
        <v>7.9015852062074954E-2</v>
      </c>
      <c r="H6" s="91">
        <v>5.3426980465903551E-2</v>
      </c>
      <c r="I6" s="116">
        <v>0.43310544186240096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5652095.9700000007</v>
      </c>
      <c r="E7" s="165">
        <v>4758251.08</v>
      </c>
      <c r="F7" s="165">
        <v>637.06999999999994</v>
      </c>
      <c r="G7" s="95">
        <v>3.4214010623526425</v>
      </c>
      <c r="H7" s="95">
        <v>5.5860119960688097</v>
      </c>
      <c r="I7" s="121">
        <v>0.17770917292121102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118446506.05000004</v>
      </c>
      <c r="E8" s="165">
        <v>117719646.24000004</v>
      </c>
      <c r="F8" s="165">
        <v>52656026.969999999</v>
      </c>
      <c r="G8" s="95">
        <v>0.16921008561354434</v>
      </c>
      <c r="H8" s="95">
        <v>0.16936984082115147</v>
      </c>
      <c r="I8" s="121">
        <v>0.47260317705073795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12547549.93</v>
      </c>
      <c r="E9" s="165">
        <v>7359936.9799999995</v>
      </c>
      <c r="F9" s="165">
        <v>477187.23000000004</v>
      </c>
      <c r="G9" s="95">
        <v>0.19214441929000414</v>
      </c>
      <c r="H9" s="95">
        <v>0.3788840165196965</v>
      </c>
      <c r="I9" s="121">
        <v>0.4823491663147077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44014990.710000008</v>
      </c>
      <c r="E10" s="165">
        <v>36435447.270000003</v>
      </c>
      <c r="F10" s="165">
        <v>352363.05</v>
      </c>
      <c r="G10" s="95">
        <v>-0.17251541517626612</v>
      </c>
      <c r="H10" s="95">
        <v>-0.27122772239426818</v>
      </c>
      <c r="I10" s="121">
        <v>-0.72015676549512275</v>
      </c>
    </row>
    <row r="11" spans="2:11">
      <c r="B11" s="29"/>
      <c r="C11" s="120" t="str">
        <f>+IF(Índice!$D$2=1,"Subsídios","Subsidies")</f>
        <v>Subsidies</v>
      </c>
      <c r="D11" s="165">
        <v>686526.87999999989</v>
      </c>
      <c r="E11" s="165">
        <v>686526.87999999989</v>
      </c>
      <c r="F11" s="165">
        <v>20500</v>
      </c>
      <c r="G11" s="95">
        <v>-0.62884401515107013</v>
      </c>
      <c r="H11" s="95">
        <v>-0.62884401515107013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102047.29</v>
      </c>
      <c r="E12" s="165">
        <v>93787.83</v>
      </c>
      <c r="F12" s="165">
        <v>3957.58</v>
      </c>
      <c r="G12" s="95">
        <v>6.8762922324806688</v>
      </c>
      <c r="H12" s="95">
        <v>13.772714814954826</v>
      </c>
      <c r="I12" s="121">
        <v>14.221461538461538</v>
      </c>
    </row>
    <row r="13" spans="2:11">
      <c r="B13" s="29"/>
      <c r="C13" s="115" t="str">
        <f>+IF(Índice!$D$2=1,"Despesa de capital","Capital expenditure")</f>
        <v>Capital expenditure</v>
      </c>
      <c r="D13" s="163">
        <v>47622548.100000009</v>
      </c>
      <c r="E13" s="163">
        <v>32464234.720000003</v>
      </c>
      <c r="F13" s="163">
        <v>60897.63</v>
      </c>
      <c r="G13" s="92">
        <v>2.1107438106534593E-2</v>
      </c>
      <c r="H13" s="92">
        <v>3.1427945580258632E-2</v>
      </c>
      <c r="I13" s="117">
        <v>-0.78883608159941021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27650652.160000004</v>
      </c>
      <c r="E14" s="165">
        <v>18645565.879999999</v>
      </c>
      <c r="F14" s="165">
        <v>60897.63</v>
      </c>
      <c r="G14" s="95">
        <v>0.11689949388782117</v>
      </c>
      <c r="H14" s="95">
        <v>0.18144772816306043</v>
      </c>
      <c r="I14" s="121">
        <v>-0.78883608159941021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19971895.940000001</v>
      </c>
      <c r="E15" s="165">
        <v>13818668.840000002</v>
      </c>
      <c r="F15" s="165">
        <v>0</v>
      </c>
      <c r="G15" s="95">
        <v>-8.7271099376862504E-2</v>
      </c>
      <c r="H15" s="95">
        <v>-0.11944158858455944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229072264.93000004</v>
      </c>
      <c r="E17" s="164">
        <v>199517831.00000003</v>
      </c>
      <c r="F17" s="164">
        <v>53571569.530000001</v>
      </c>
      <c r="G17" s="147">
        <v>6.6442593915989834E-2</v>
      </c>
      <c r="H17" s="147">
        <v>4.9783738379017839E-2</v>
      </c>
      <c r="I17" s="148">
        <v>0.42374001829557306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156986228.15000004</v>
      </c>
      <c r="E19" s="164">
        <v>127444278.15999998</v>
      </c>
      <c r="F19" s="164">
        <v>9666274.9800000023</v>
      </c>
      <c r="G19" s="147">
        <v>0.12863349222391318</v>
      </c>
      <c r="H19" s="147">
        <v>0.11439054284961703</v>
      </c>
      <c r="I19" s="148">
        <v>1.284532455490274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março de 2024 (valores acumulados)","Table XIV - Accounts payable of the Regional Gov., march (accumulated)")</f>
        <v>Table XIV - Accounts payable of the Regional Gov., march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8" t="str">
        <f>+IF(Índice!$D$2=1,"Governo Regional","Regional Government")</f>
        <v>Regional Government</v>
      </c>
      <c r="D24" s="339" t="str">
        <f>+IF(Índice!$D$2=1,"março 2024","march 2024")</f>
        <v>march 2024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0" t="str">
        <f>+IF(Índice!$D$2=1,"Variação face ao stock inicial de janeiro","Change from january initial stock")</f>
        <v>Change from january initial stock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Accumulated</v>
      </c>
      <c r="E25" s="342"/>
      <c r="F25" s="342"/>
      <c r="G25" s="343" t="str">
        <f>+IF(Índice!$D$2=1,"Passivo","Liabilities")</f>
        <v>Liabilities</v>
      </c>
      <c r="H25" s="343" t="str">
        <f>+IF(Índice!$D$2=1,"Contas a pagar","Accounts payable")</f>
        <v>Accounts payable</v>
      </c>
      <c r="I25" s="345" t="str">
        <f>+IF(Índice!$D$2=1,"Pagamentos em atraso","Late payments")</f>
        <v>Late payments</v>
      </c>
    </row>
    <row r="26" spans="2:9" ht="22.5">
      <c r="B26" s="29"/>
      <c r="C26" s="338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37934796.369999997</v>
      </c>
      <c r="E27" s="162">
        <v>31630882.239999998</v>
      </c>
      <c r="F27" s="162">
        <v>1419996.8099999998</v>
      </c>
      <c r="G27" s="91">
        <v>2.1598334694934409</v>
      </c>
      <c r="H27" s="91">
        <v>2.4125393310215792</v>
      </c>
      <c r="I27" s="116">
        <v>0.34632479952064665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37059007.430000007</v>
      </c>
      <c r="E28" s="163">
        <v>30617829.050000001</v>
      </c>
      <c r="F28" s="163">
        <v>13724.14</v>
      </c>
      <c r="G28" s="92">
        <v>0.11518254308769493</v>
      </c>
      <c r="H28" s="172">
        <v>0.14308010285580153</v>
      </c>
      <c r="I28" s="117">
        <v>20.784349206349205</v>
      </c>
    </row>
    <row r="29" spans="2:9" ht="20.100000000000001" customHeight="1">
      <c r="B29" s="29"/>
      <c r="C29" s="146" t="s">
        <v>7</v>
      </c>
      <c r="D29" s="164">
        <v>74993803.800000012</v>
      </c>
      <c r="E29" s="164">
        <v>62248711.289999999</v>
      </c>
      <c r="F29" s="164">
        <v>1433720.9499999997</v>
      </c>
      <c r="G29" s="147">
        <v>0.65781063781604066</v>
      </c>
      <c r="H29" s="147">
        <v>0.72652233227859342</v>
      </c>
      <c r="I29" s="148">
        <v>0.35852543935555525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março de 2024 (valores acumulados)","Table XV - Accounts payable of the ASFs, march (accumulated)")</f>
        <v>Table XV - Accounts payable of the ASFs, march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7" t="str">
        <f>+IF(Índice!$D$2=1,"Serviços e Fundos Autónomos","Autonomous Services and Funds")</f>
        <v>Autonomous Services and Funds</v>
      </c>
      <c r="D33" s="339" t="str">
        <f>+IF(Índice!$D$2=1,"março 2024","march 2024")</f>
        <v>march 2024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0" t="str">
        <f>+IF(Índice!$D$2=1,"Variação face ao stock inicial de janeiro","Change from january initial stock")</f>
        <v>Change from january initial stock</v>
      </c>
      <c r="H33" s="341"/>
      <c r="I33" s="341"/>
    </row>
    <row r="34" spans="2:9" ht="12.75" customHeight="1">
      <c r="C34" s="348"/>
      <c r="D34" s="350" t="str">
        <f>+IF(Índice!$D$2=1,"Stock final do período","Accumulated")</f>
        <v>Accumulated</v>
      </c>
      <c r="E34" s="351"/>
      <c r="F34" s="352"/>
      <c r="G34" s="353" t="str">
        <f>+IF(Índice!$D$2=1,"Passivo","Liabilities")</f>
        <v>Liabilities</v>
      </c>
      <c r="H34" s="353" t="str">
        <f>+IF(Índice!$D$2=1,"Contas a pagar","Accounts payable")</f>
        <v>Accounts payable</v>
      </c>
      <c r="I34" s="345" t="str">
        <f>+IF(Índice!$D$2=1,"Pagamentos em atraso","Late payments")</f>
        <v>Late payments</v>
      </c>
    </row>
    <row r="35" spans="2:9" ht="22.5">
      <c r="C35" s="349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Current expenditure</v>
      </c>
      <c r="D36" s="162">
        <v>63217723.219999999</v>
      </c>
      <c r="E36" s="162">
        <v>59445759.060000002</v>
      </c>
      <c r="F36" s="162">
        <v>8229504.0300000003</v>
      </c>
      <c r="G36" s="91">
        <v>-0.16357737795867544</v>
      </c>
      <c r="H36" s="91">
        <v>-0.18586942156386976</v>
      </c>
      <c r="I36" s="116">
        <v>1.6605127775965456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368010.01</v>
      </c>
      <c r="E37" s="163">
        <v>368010.01</v>
      </c>
      <c r="F37" s="163">
        <v>3050</v>
      </c>
      <c r="G37" s="92">
        <v>-1.7966062363970026E-2</v>
      </c>
      <c r="H37" s="92">
        <v>-1.7966062363970026E-2</v>
      </c>
      <c r="I37" s="117">
        <v>-0.96308846219151178</v>
      </c>
    </row>
    <row r="38" spans="2:9" ht="20.100000000000001" customHeight="1">
      <c r="C38" s="146" t="s">
        <v>7</v>
      </c>
      <c r="D38" s="164">
        <v>63585733.229999997</v>
      </c>
      <c r="E38" s="164">
        <v>59813769.07</v>
      </c>
      <c r="F38" s="164">
        <v>8232554.0300000003</v>
      </c>
      <c r="G38" s="147">
        <v>-0.16285897650576897</v>
      </c>
      <c r="H38" s="147">
        <v>-0.18501210244259902</v>
      </c>
      <c r="I38" s="148">
        <v>1.592250939478947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março de 2024 (valores acumulados)","Table XVI - Accounts payable of the RPEs, march (accumulated)")</f>
        <v>Table XVI - Accounts payable of the RPEs, march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7" t="str">
        <f>+IF(Índice!$D$2=1,"Entidades Públicas Reclassseicadas","Reclassseied Public Entities")</f>
        <v>Reclassseied Public Entities</v>
      </c>
      <c r="D42" s="339" t="str">
        <f>+IF(Índice!$D$2=1,"março 2024","march 2024")</f>
        <v>march 2024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0" t="str">
        <f>+IF(Índice!$D$2=1,"Variação face ao stock inicial de janeiro","Change from january initial stock")</f>
        <v>Change from january initial stock</v>
      </c>
      <c r="H42" s="341"/>
      <c r="I42" s="341"/>
    </row>
    <row r="43" spans="2:9" ht="12.75" customHeight="1">
      <c r="C43" s="348"/>
      <c r="D43" s="350" t="str">
        <f>+IF(Índice!$D$2=1,"Stock final do período","Accumulated")</f>
        <v>Accumulated</v>
      </c>
      <c r="E43" s="351"/>
      <c r="F43" s="352"/>
      <c r="G43" s="343" t="str">
        <f>+IF(Índice!$D$2=1,"Passivo","Liabilities")</f>
        <v>Liabilities</v>
      </c>
      <c r="H43" s="343" t="str">
        <f>+IF(Índice!$D$2=1,"Contas a pagar","Accounts payable")</f>
        <v>Accounts payable</v>
      </c>
      <c r="I43" s="345" t="str">
        <f>+IF(Índice!$D$2=1,"Pagamentos em atraso","Late payments")</f>
        <v>Late payments</v>
      </c>
    </row>
    <row r="44" spans="2:9" ht="22.5">
      <c r="C44" s="349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Current expenditure</v>
      </c>
      <c r="D45" s="162">
        <v>80297197.240000039</v>
      </c>
      <c r="E45" s="162">
        <v>75976954.980000034</v>
      </c>
      <c r="F45" s="162">
        <v>43861171.059999995</v>
      </c>
      <c r="G45" s="91">
        <v>-3.458164679113529E-3</v>
      </c>
      <c r="H45" s="91">
        <v>-4.1633561788225748E-3</v>
      </c>
      <c r="I45" s="116">
        <v>0.32147622851280322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10195530.66</v>
      </c>
      <c r="E46" s="163">
        <v>1478395.66</v>
      </c>
      <c r="F46" s="163">
        <v>44123.49</v>
      </c>
      <c r="G46" s="92">
        <v>-0.21765757031074362</v>
      </c>
      <c r="H46" s="92">
        <v>-0.65737599219623322</v>
      </c>
      <c r="I46" s="117">
        <v>-0.78490021441490399</v>
      </c>
    </row>
    <row r="47" spans="2:9" ht="20.100000000000001" customHeight="1">
      <c r="C47" s="146" t="s">
        <v>7</v>
      </c>
      <c r="D47" s="164">
        <v>90492727.900000036</v>
      </c>
      <c r="E47" s="164">
        <v>77455350.64000003</v>
      </c>
      <c r="F47" s="164">
        <v>43905294.549999997</v>
      </c>
      <c r="G47" s="147">
        <v>-3.3278925403006809E-2</v>
      </c>
      <c r="H47" s="147">
        <v>-3.912896876464822E-2</v>
      </c>
      <c r="I47" s="148">
        <v>0.31468049837375878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9"/>
  <sheetViews>
    <sheetView showGridLines="0" topLeftCell="A14" zoomScale="85" zoomScaleNormal="85" workbookViewId="0">
      <selection activeCell="P96" sqref="P96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77</v>
      </c>
      <c r="D10" s="170"/>
      <c r="E10" s="169"/>
    </row>
    <row r="11" spans="2:5">
      <c r="B11" s="195"/>
      <c r="C11" s="170" t="s">
        <v>78</v>
      </c>
      <c r="D11" s="170"/>
      <c r="E11" s="169"/>
    </row>
    <row r="12" spans="2:5">
      <c r="B12" s="195"/>
      <c r="C12" s="170" t="s">
        <v>79</v>
      </c>
      <c r="D12" s="170"/>
      <c r="E12" s="169"/>
    </row>
    <row r="13" spans="2:5">
      <c r="B13" s="195"/>
      <c r="C13" s="170" t="s">
        <v>80</v>
      </c>
      <c r="D13" s="170"/>
      <c r="E13" s="169"/>
    </row>
    <row r="14" spans="2:5">
      <c r="B14" s="195"/>
      <c r="C14" s="170" t="s">
        <v>19</v>
      </c>
      <c r="D14" s="170"/>
      <c r="E14" s="169"/>
    </row>
    <row r="15" spans="2:5">
      <c r="B15" s="195"/>
      <c r="C15" s="170" t="s">
        <v>62</v>
      </c>
      <c r="D15" s="170"/>
      <c r="E15" s="169"/>
    </row>
    <row r="16" spans="2:5">
      <c r="B16" s="195"/>
      <c r="C16" s="170" t="s">
        <v>81</v>
      </c>
      <c r="D16" s="170"/>
      <c r="E16" s="169"/>
    </row>
    <row r="17" spans="2:5">
      <c r="B17" s="195"/>
      <c r="C17" s="170" t="s">
        <v>82</v>
      </c>
      <c r="D17" s="171"/>
      <c r="E17" s="169"/>
    </row>
    <row r="18" spans="2:5">
      <c r="B18" s="195"/>
      <c r="C18" s="170" t="s">
        <v>20</v>
      </c>
      <c r="D18" s="170"/>
      <c r="E18" s="169"/>
    </row>
    <row r="19" spans="2:5">
      <c r="B19" s="195"/>
      <c r="C19" s="170" t="s">
        <v>63</v>
      </c>
      <c r="D19" s="170"/>
      <c r="E19" s="169"/>
    </row>
    <row r="20" spans="2:5">
      <c r="B20" s="195"/>
      <c r="C20" s="170" t="s">
        <v>64</v>
      </c>
      <c r="D20" s="170"/>
      <c r="E20" s="169"/>
    </row>
    <row r="21" spans="2:5">
      <c r="B21" s="195"/>
      <c r="C21" s="170" t="s">
        <v>83</v>
      </c>
      <c r="D21" s="170"/>
      <c r="E21" s="169"/>
    </row>
    <row r="22" spans="2:5">
      <c r="B22" s="195"/>
      <c r="C22" s="170" t="s">
        <v>84</v>
      </c>
      <c r="D22" s="170"/>
      <c r="E22" s="169"/>
    </row>
    <row r="23" spans="2:5">
      <c r="B23" s="195"/>
      <c r="C23" s="170" t="s">
        <v>65</v>
      </c>
      <c r="D23" s="170"/>
      <c r="E23" s="169"/>
    </row>
    <row r="24" spans="2:5">
      <c r="B24" s="195"/>
      <c r="C24" s="170" t="s">
        <v>85</v>
      </c>
      <c r="D24" s="170"/>
      <c r="E24" s="169"/>
    </row>
    <row r="25" spans="2:5">
      <c r="B25" s="195"/>
      <c r="C25" s="170" t="s">
        <v>86</v>
      </c>
      <c r="D25" s="170"/>
      <c r="E25" s="169"/>
    </row>
    <row r="26" spans="2:5">
      <c r="B26" s="195"/>
      <c r="C26" s="170" t="s">
        <v>66</v>
      </c>
      <c r="D26" s="170"/>
      <c r="E26" s="169"/>
    </row>
    <row r="27" spans="2:5">
      <c r="B27" s="195"/>
      <c r="C27" s="170" t="s">
        <v>67</v>
      </c>
      <c r="D27" s="170"/>
      <c r="E27" s="169"/>
    </row>
    <row r="28" spans="2:5">
      <c r="B28" s="195"/>
      <c r="C28" s="170" t="s">
        <v>87</v>
      </c>
      <c r="D28" s="170"/>
      <c r="E28" s="169"/>
    </row>
    <row r="29" spans="2:5">
      <c r="B29" s="55"/>
      <c r="C29" s="170" t="s">
        <v>68</v>
      </c>
      <c r="D29" s="170"/>
      <c r="E29" s="169"/>
    </row>
    <row r="30" spans="2:5">
      <c r="B30" s="55"/>
      <c r="C30" s="170" t="s">
        <v>88</v>
      </c>
      <c r="D30" s="170"/>
      <c r="E30" s="169"/>
    </row>
    <row r="31" spans="2:5">
      <c r="B31" s="55"/>
      <c r="C31" s="170" t="s">
        <v>69</v>
      </c>
      <c r="D31" s="170"/>
      <c r="E31" s="169"/>
    </row>
    <row r="32" spans="2:5">
      <c r="B32" s="55"/>
      <c r="C32" s="170" t="s">
        <v>89</v>
      </c>
      <c r="D32" s="170"/>
      <c r="E32" s="169"/>
    </row>
    <row r="33" spans="2:5">
      <c r="B33" s="55"/>
      <c r="C33" s="170" t="s">
        <v>70</v>
      </c>
      <c r="D33" s="170"/>
      <c r="E33" s="169"/>
    </row>
    <row r="34" spans="2:5">
      <c r="B34" s="55"/>
      <c r="C34" s="170" t="s">
        <v>21</v>
      </c>
      <c r="D34" s="170"/>
      <c r="E34" s="169"/>
    </row>
    <row r="35" spans="2:5">
      <c r="B35" s="55"/>
      <c r="C35" s="171" t="s">
        <v>22</v>
      </c>
      <c r="D35" s="170"/>
      <c r="E35" s="169"/>
    </row>
    <row r="36" spans="2:5">
      <c r="B36" s="55"/>
      <c r="C36" s="170" t="s">
        <v>23</v>
      </c>
      <c r="D36" s="170"/>
      <c r="E36" s="169"/>
    </row>
    <row r="37" spans="2:5">
      <c r="B37" s="55"/>
      <c r="C37" s="171" t="s">
        <v>24</v>
      </c>
      <c r="D37" s="170"/>
      <c r="E37" s="169"/>
    </row>
    <row r="38" spans="2:5">
      <c r="B38" s="55"/>
      <c r="C38" s="170" t="s">
        <v>71</v>
      </c>
      <c r="D38" s="170"/>
      <c r="E38" s="169"/>
    </row>
    <row r="39" spans="2:5">
      <c r="B39" s="55"/>
      <c r="C39" s="170" t="s">
        <v>72</v>
      </c>
      <c r="D39" s="170"/>
      <c r="E39" s="169"/>
    </row>
    <row r="40" spans="2:5">
      <c r="B40" s="55"/>
      <c r="C40" s="170" t="s">
        <v>58</v>
      </c>
      <c r="D40" s="170"/>
      <c r="E40" s="169"/>
    </row>
    <row r="41" spans="2:5">
      <c r="B41" s="55"/>
      <c r="C41" s="170" t="s">
        <v>25</v>
      </c>
      <c r="D41" s="170"/>
      <c r="E41" s="169"/>
    </row>
    <row r="42" spans="2:5">
      <c r="B42" s="55"/>
      <c r="C42" s="170" t="s">
        <v>73</v>
      </c>
      <c r="D42" s="170"/>
      <c r="E42" s="169"/>
    </row>
    <row r="43" spans="2:5">
      <c r="B43" s="55"/>
      <c r="C43" s="170" t="s">
        <v>26</v>
      </c>
      <c r="D43" s="171"/>
      <c r="E43" s="169"/>
    </row>
    <row r="44" spans="2:5">
      <c r="B44" s="55"/>
      <c r="C44" s="170" t="s">
        <v>27</v>
      </c>
      <c r="D44" s="170"/>
      <c r="E44" s="169"/>
    </row>
    <row r="45" spans="2:5">
      <c r="B45" s="55"/>
      <c r="C45" s="170" t="s">
        <v>59</v>
      </c>
      <c r="D45" s="171"/>
      <c r="E45" s="169"/>
    </row>
    <row r="46" spans="2:5">
      <c r="B46" s="55"/>
      <c r="C46" s="171" t="s">
        <v>28</v>
      </c>
      <c r="D46" s="170"/>
      <c r="E46" s="169"/>
    </row>
    <row r="47" spans="2:5">
      <c r="B47" s="55"/>
      <c r="C47" s="170" t="s">
        <v>74</v>
      </c>
      <c r="D47" s="170"/>
      <c r="E47" s="169"/>
    </row>
    <row r="48" spans="2:5">
      <c r="B48" s="55"/>
      <c r="C48" s="170" t="s">
        <v>29</v>
      </c>
      <c r="D48" s="170"/>
      <c r="E48" s="169"/>
    </row>
    <row r="49" spans="2:5">
      <c r="B49" s="55"/>
      <c r="C49" s="171" t="s">
        <v>30</v>
      </c>
      <c r="D49" s="170"/>
      <c r="E49" s="169"/>
    </row>
    <row r="50" spans="2:5">
      <c r="B50" s="55"/>
      <c r="C50" s="170" t="s">
        <v>31</v>
      </c>
      <c r="D50" s="171"/>
      <c r="E50" s="169"/>
    </row>
    <row r="51" spans="2:5">
      <c r="B51" s="55"/>
      <c r="C51" s="170" t="s">
        <v>90</v>
      </c>
      <c r="D51" s="170"/>
      <c r="E51" s="169"/>
    </row>
    <row r="52" spans="2:5">
      <c r="B52" s="55"/>
      <c r="C52" s="170" t="s">
        <v>32</v>
      </c>
      <c r="D52" s="170"/>
      <c r="E52" s="169"/>
    </row>
    <row r="53" spans="2:5">
      <c r="B53" s="55"/>
      <c r="C53" s="170" t="s">
        <v>33</v>
      </c>
      <c r="D53" s="170"/>
      <c r="E53" s="169"/>
    </row>
    <row r="54" spans="2:5">
      <c r="B54" s="55"/>
      <c r="C54" s="171" t="s">
        <v>34</v>
      </c>
      <c r="D54" s="171"/>
      <c r="E54" s="169"/>
    </row>
    <row r="55" spans="2:5">
      <c r="B55" s="55"/>
      <c r="C55" s="170" t="s">
        <v>36</v>
      </c>
    </row>
    <row r="56" spans="2:5">
      <c r="B56" s="55"/>
      <c r="C56" s="171" t="s">
        <v>52</v>
      </c>
    </row>
    <row r="57" spans="2:5">
      <c r="B57" s="55"/>
      <c r="C57" s="170" t="s">
        <v>35</v>
      </c>
    </row>
    <row r="58" spans="2:5">
      <c r="B58" s="55"/>
      <c r="C58" s="170" t="s">
        <v>61</v>
      </c>
    </row>
    <row r="59" spans="2:5">
      <c r="B59" s="55"/>
      <c r="C59" s="170" t="s">
        <v>60</v>
      </c>
    </row>
    <row r="60" spans="2:5">
      <c r="B60" s="55"/>
      <c r="C60" s="171" t="s">
        <v>91</v>
      </c>
    </row>
    <row r="61" spans="2:5">
      <c r="B61" s="55"/>
      <c r="C61" s="170" t="s">
        <v>92</v>
      </c>
    </row>
    <row r="62" spans="2:5">
      <c r="B62" s="55"/>
      <c r="C62" s="170" t="s">
        <v>93</v>
      </c>
    </row>
    <row r="63" spans="2:5">
      <c r="B63" s="55"/>
      <c r="C63" s="171" t="s">
        <v>38</v>
      </c>
    </row>
    <row r="64" spans="2:5">
      <c r="B64" s="55"/>
      <c r="C64" s="170" t="s">
        <v>94</v>
      </c>
    </row>
    <row r="65" spans="2:3">
      <c r="B65" s="55"/>
      <c r="C65" s="170" t="s">
        <v>39</v>
      </c>
    </row>
    <row r="66" spans="2:3">
      <c r="B66" s="55"/>
      <c r="C66" s="170" t="s">
        <v>40</v>
      </c>
    </row>
    <row r="67" spans="2:3">
      <c r="B67" s="55"/>
      <c r="C67" s="170" t="s">
        <v>41</v>
      </c>
    </row>
    <row r="68" spans="2:3">
      <c r="B68" s="55"/>
      <c r="C68" s="170" t="s">
        <v>42</v>
      </c>
    </row>
    <row r="69" spans="2:3">
      <c r="B69" s="55"/>
      <c r="C69" s="275"/>
    </row>
    <row r="70" spans="2:3">
      <c r="B70" s="55"/>
      <c r="C70" s="171"/>
    </row>
    <row r="71" spans="2:3">
      <c r="B71" s="55"/>
      <c r="C71" s="170"/>
    </row>
    <row r="72" spans="2:3">
      <c r="B72" s="55"/>
      <c r="C72" s="170"/>
    </row>
    <row r="73" spans="2:3">
      <c r="B73" s="55"/>
      <c r="C73" s="170"/>
    </row>
    <row r="74" spans="2:3" ht="13.5" customHeight="1">
      <c r="B74" s="55"/>
      <c r="C74" s="170"/>
    </row>
    <row r="75" spans="2:3" ht="13.5" customHeight="1">
      <c r="B75" s="55"/>
      <c r="C75" s="170"/>
    </row>
    <row r="76" spans="2:3" ht="13.5" customHeight="1">
      <c r="B76" s="55"/>
      <c r="C76" s="322"/>
    </row>
    <row r="77" spans="2:3" ht="13.5" customHeight="1">
      <c r="B77" s="55"/>
      <c r="C77" s="322"/>
    </row>
    <row r="78" spans="2:3" ht="13.5" customHeight="1">
      <c r="B78" s="55"/>
      <c r="C78" s="322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43</v>
      </c>
    </row>
    <row r="85" spans="2:3">
      <c r="B85" s="55"/>
      <c r="C85" s="170" t="s">
        <v>44</v>
      </c>
    </row>
    <row r="86" spans="2:3">
      <c r="B86" s="55"/>
      <c r="C86" s="170" t="s">
        <v>45</v>
      </c>
    </row>
    <row r="87" spans="2:3">
      <c r="B87" s="55"/>
      <c r="C87" s="170" t="s">
        <v>75</v>
      </c>
    </row>
    <row r="88" spans="2:3">
      <c r="B88" s="55"/>
      <c r="C88" s="171" t="s">
        <v>22</v>
      </c>
    </row>
    <row r="89" spans="2:3">
      <c r="B89" s="55"/>
      <c r="C89" s="170" t="s">
        <v>46</v>
      </c>
    </row>
    <row r="90" spans="2:3">
      <c r="B90" s="55"/>
      <c r="C90" s="170" t="s">
        <v>47</v>
      </c>
    </row>
    <row r="91" spans="2:3">
      <c r="B91" s="55"/>
      <c r="C91" s="171" t="s">
        <v>24</v>
      </c>
    </row>
    <row r="92" spans="2:3">
      <c r="B92" s="55"/>
      <c r="C92" s="170" t="s">
        <v>48</v>
      </c>
    </row>
    <row r="93" spans="2:3">
      <c r="B93" s="55"/>
      <c r="C93" s="170" t="s">
        <v>49</v>
      </c>
    </row>
    <row r="94" spans="2:3">
      <c r="B94" s="55"/>
      <c r="C94" s="170" t="s">
        <v>76</v>
      </c>
    </row>
    <row r="95" spans="2:3">
      <c r="B95" s="55"/>
      <c r="C95" s="171" t="s">
        <v>28</v>
      </c>
    </row>
    <row r="96" spans="2:3">
      <c r="B96" s="55"/>
      <c r="C96" s="170" t="s">
        <v>50</v>
      </c>
    </row>
    <row r="97" spans="2:3">
      <c r="B97" s="55"/>
      <c r="C97" s="171" t="s">
        <v>34</v>
      </c>
    </row>
    <row r="98" spans="2:3">
      <c r="B98" s="55"/>
      <c r="C98" s="170" t="s">
        <v>51</v>
      </c>
    </row>
    <row r="99" spans="2:3">
      <c r="B99" s="55"/>
      <c r="C99" s="171" t="s">
        <v>37</v>
      </c>
    </row>
    <row r="100" spans="2:3">
      <c r="B100" s="55"/>
      <c r="C100" s="170" t="s">
        <v>95</v>
      </c>
    </row>
    <row r="101" spans="2:3">
      <c r="B101" s="55"/>
      <c r="C101" s="171" t="s">
        <v>38</v>
      </c>
    </row>
    <row r="102" spans="2:3">
      <c r="B102" s="55"/>
      <c r="C102" s="170" t="s">
        <v>53</v>
      </c>
    </row>
    <row r="103" spans="2:3">
      <c r="B103" s="55"/>
      <c r="C103" s="170" t="s">
        <v>54</v>
      </c>
    </row>
    <row r="104" spans="2:3">
      <c r="B104" s="55"/>
      <c r="C104" s="170" t="s">
        <v>55</v>
      </c>
    </row>
    <row r="105" spans="2:3">
      <c r="B105" s="55"/>
      <c r="C105" s="170" t="s">
        <v>56</v>
      </c>
    </row>
    <row r="106" spans="2:3">
      <c r="B106" s="55"/>
      <c r="C106" s="170" t="s">
        <v>57</v>
      </c>
    </row>
    <row r="107" spans="2:3">
      <c r="B107" s="55"/>
      <c r="C107" s="290"/>
    </row>
    <row r="108" spans="2:3">
      <c r="B108" s="55"/>
      <c r="C108" s="323"/>
    </row>
    <row r="109" spans="2:3">
      <c r="B109" s="55"/>
      <c r="C109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5" sqref="C5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(january-march)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(january-march)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(march)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(january-march)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(january-march)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(january-march)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(january-march)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(january-march)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(january-march)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(january-march)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(january-march)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(march)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march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march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march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march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21" sqref="C21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(janeiro-março)","TABLE I - Consolidated budget execution (january-march)")</f>
        <v>TABLE I - Consolidated budget execution (january-march)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2024","Consolidated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305730.35895000002</v>
      </c>
      <c r="E5" s="57">
        <v>130350.05219</v>
      </c>
      <c r="F5" s="57">
        <v>103078.40565999999</v>
      </c>
      <c r="G5" s="57">
        <v>354898.24958</v>
      </c>
      <c r="H5" s="57">
        <v>19.66427472340073</v>
      </c>
    </row>
    <row r="6" spans="1:10" ht="11.25" customHeight="1">
      <c r="C6" s="68" t="str">
        <f>+IF(Índice!$D$2=1,"Impostos diretos","Direct taxes")</f>
        <v>Direct taxes</v>
      </c>
      <c r="D6" s="56">
        <v>75100.040260000009</v>
      </c>
      <c r="E6" s="56">
        <v>0</v>
      </c>
      <c r="F6" s="56">
        <v>0</v>
      </c>
      <c r="G6" s="56">
        <v>75100.040260000009</v>
      </c>
      <c r="H6" s="56">
        <v>44.207726749394752</v>
      </c>
    </row>
    <row r="7" spans="1:10">
      <c r="C7" s="68" t="str">
        <f>+IF(Índice!$D$2=1,"Impostos indiretos","Indirect taxes")</f>
        <v>Indirect taxes</v>
      </c>
      <c r="D7" s="56">
        <v>170963.63014999998</v>
      </c>
      <c r="E7" s="56">
        <v>0</v>
      </c>
      <c r="F7" s="56">
        <v>0</v>
      </c>
      <c r="G7" s="56">
        <v>170963.63014999998</v>
      </c>
      <c r="H7" s="56">
        <v>10.488132593964504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59666.688540000003</v>
      </c>
      <c r="E9" s="56">
        <v>130350.05219</v>
      </c>
      <c r="F9" s="56">
        <v>103078.40565999999</v>
      </c>
      <c r="G9" s="56">
        <v>82209.450190000003</v>
      </c>
      <c r="H9" s="56">
        <v>6.2337921149175468</v>
      </c>
    </row>
    <row r="10" spans="1:10">
      <c r="C10" s="69" t="str">
        <f>+IF(Índice!$D$2=1,"Transferências correntes","Current transfers")</f>
        <v>Current transfers</v>
      </c>
      <c r="D10" s="56">
        <v>49427.383310000005</v>
      </c>
      <c r="E10" s="56">
        <v>127453.24286</v>
      </c>
      <c r="F10" s="56">
        <v>90053.510829999999</v>
      </c>
      <c r="G10" s="56">
        <v>56048.440799999982</v>
      </c>
      <c r="H10" s="56">
        <v>0.55399396888742292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49178.053</v>
      </c>
      <c r="E11" s="56">
        <v>25.126580000000004</v>
      </c>
      <c r="F11" s="56">
        <v>0</v>
      </c>
      <c r="G11" s="56">
        <v>49203.179579999996</v>
      </c>
      <c r="H11" s="56">
        <v>6.8933723514841505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121324.89111999999</v>
      </c>
      <c r="F12" s="56">
        <v>89560.80508000002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26625.128979999979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31634.853030000002</v>
      </c>
      <c r="E14" s="57">
        <v>2330.6362200000003</v>
      </c>
      <c r="F14" s="57">
        <v>7497.0134799999996</v>
      </c>
      <c r="G14" s="57">
        <v>38145.8603</v>
      </c>
      <c r="H14" s="57">
        <v>69.970696839392787</v>
      </c>
    </row>
    <row r="15" spans="1:10">
      <c r="C15" s="68" t="str">
        <f>+IF(Índice!$D$2=1,"Venda de bens de investimento","Sale of investment goods")</f>
        <v>Sale of investment goods</v>
      </c>
      <c r="D15" s="56">
        <v>731.44</v>
      </c>
      <c r="E15" s="56">
        <v>0</v>
      </c>
      <c r="F15" s="56">
        <v>181.6</v>
      </c>
      <c r="G15" s="56">
        <v>913.04000000000008</v>
      </c>
      <c r="H15" s="56">
        <v>424.08681872631132</v>
      </c>
    </row>
    <row r="16" spans="1:10" ht="11.25" customHeight="1">
      <c r="C16" s="68" t="str">
        <f>+IF(Índice!$D$2=1,"Transferências capital","Capital transfers")</f>
        <v>Capital transfers</v>
      </c>
      <c r="D16" s="56">
        <v>29835.220010000001</v>
      </c>
      <c r="E16" s="56">
        <v>2316.3735100000004</v>
      </c>
      <c r="F16" s="56">
        <v>6692.5512099999996</v>
      </c>
      <c r="G16" s="56">
        <v>34296.896489999999</v>
      </c>
      <c r="H16" s="56">
        <v>67.059858088259844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27047.929</v>
      </c>
      <c r="E17" s="56">
        <v>0</v>
      </c>
      <c r="F17" s="56">
        <v>0</v>
      </c>
      <c r="G17" s="56">
        <v>27047.929</v>
      </c>
      <c r="H17" s="56">
        <v>138.78646928740244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604.02581000000009</v>
      </c>
      <c r="F18" s="56">
        <v>3943.2224300000007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1230.6058100000005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337365.21198000002</v>
      </c>
      <c r="E20" s="57">
        <v>132680.68841</v>
      </c>
      <c r="F20" s="57">
        <v>110575.41913999998</v>
      </c>
      <c r="G20" s="57">
        <v>393044.10988</v>
      </c>
      <c r="H20" s="57">
        <v>23.203251115234536</v>
      </c>
    </row>
    <row r="21" spans="3:8" ht="20.25" customHeight="1">
      <c r="C21" s="220" t="str">
        <f>+IF(Índice!$D$2=1,"Despesa corrente","Current expenditure")</f>
        <v>Current expenditure</v>
      </c>
      <c r="D21" s="220">
        <v>273080.23512000026</v>
      </c>
      <c r="E21" s="220">
        <v>129118.65805</v>
      </c>
      <c r="F21" s="220">
        <v>72874.312300000049</v>
      </c>
      <c r="G21" s="220">
        <v>290812.63825000025</v>
      </c>
      <c r="H21" s="220">
        <v>4.5043852251856364</v>
      </c>
    </row>
    <row r="22" spans="3:8" ht="10.5" customHeight="1">
      <c r="C22" s="68" t="str">
        <f>+IF(Índice!$D$2=1,"Consumo público","Public consumption")</f>
        <v>Public consumption</v>
      </c>
      <c r="D22" s="56">
        <v>136470.36049000022</v>
      </c>
      <c r="E22" s="56">
        <v>33260.248869999996</v>
      </c>
      <c r="F22" s="56">
        <v>69316.440440000049</v>
      </c>
      <c r="G22" s="56">
        <v>239047.04980000024</v>
      </c>
      <c r="H22" s="56">
        <v>6.9103111417289975</v>
      </c>
    </row>
    <row r="23" spans="3:8">
      <c r="C23" s="69" t="str">
        <f>+IF(Índice!$D$2=1,"Despesas com o pessoal","Compensation of employees")</f>
        <v>Compensation of employees</v>
      </c>
      <c r="D23" s="56">
        <v>95367.081020000187</v>
      </c>
      <c r="E23" s="56">
        <v>12219.289630000008</v>
      </c>
      <c r="F23" s="56">
        <v>54838.040760000054</v>
      </c>
      <c r="G23" s="56">
        <v>162424.41141000023</v>
      </c>
      <c r="H23" s="56">
        <v>5.8886194138226378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41103.27947000003</v>
      </c>
      <c r="E24" s="56">
        <v>21040.959239999989</v>
      </c>
      <c r="F24" s="56">
        <v>14478.399679999997</v>
      </c>
      <c r="G24" s="56">
        <v>76622.638390000007</v>
      </c>
      <c r="H24" s="56">
        <v>9.14264562284548</v>
      </c>
    </row>
    <row r="25" spans="3:8">
      <c r="C25" s="68" t="str">
        <f>+IF(Índice!$D$2=1,"Subsídios","Subsidies")</f>
        <v>Subsidies</v>
      </c>
      <c r="D25" s="56">
        <v>4190.5727999999999</v>
      </c>
      <c r="E25" s="56">
        <v>1251.6770900000001</v>
      </c>
      <c r="F25" s="56">
        <v>0</v>
      </c>
      <c r="G25" s="56">
        <v>5442.2498900000001</v>
      </c>
      <c r="H25" s="56">
        <v>-22.340534072987374</v>
      </c>
    </row>
    <row r="26" spans="3:8">
      <c r="C26" s="68" t="str">
        <f>+IF(Índice!$D$2=1,"Juros e outros encargos","Interests and other charges")</f>
        <v>Interests and other charges</v>
      </c>
      <c r="D26" s="56">
        <v>23504.83887</v>
      </c>
      <c r="E26" s="56">
        <v>8.6390899999999977</v>
      </c>
      <c r="F26" s="56">
        <v>276.93070999999998</v>
      </c>
      <c r="G26" s="56">
        <v>23790.408670000001</v>
      </c>
      <c r="H26" s="56">
        <v>5.5232566002299421</v>
      </c>
    </row>
    <row r="27" spans="3:8">
      <c r="C27" s="68" t="str">
        <f>+IF(Índice!$D$2=1,"Transferências correntes","Current transfers")</f>
        <v>Current transfers</v>
      </c>
      <c r="D27" s="56">
        <v>108914.46296000003</v>
      </c>
      <c r="E27" s="56">
        <v>94598.093000000008</v>
      </c>
      <c r="F27" s="56">
        <v>3280.941150000001</v>
      </c>
      <c r="G27" s="56">
        <v>22532.929890000029</v>
      </c>
      <c r="H27" s="56">
        <v>-10.331081705552435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686.37194000000011</v>
      </c>
      <c r="F28" s="56">
        <v>0</v>
      </c>
      <c r="G28" s="56">
        <v>686.37194000000011</v>
      </c>
      <c r="H28" s="56">
        <v>50.650951093242981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95928.701220000032</v>
      </c>
      <c r="E29" s="56">
        <v>88331.865999999995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15336.501590000007</v>
      </c>
      <c r="E31" s="57">
        <v>1315.01953</v>
      </c>
      <c r="F31" s="57">
        <v>3258.7575500000003</v>
      </c>
      <c r="G31" s="57">
        <v>16593.636240000007</v>
      </c>
      <c r="H31" s="57">
        <v>-49.493223223070082</v>
      </c>
    </row>
    <row r="32" spans="3:8">
      <c r="C32" s="68" t="str">
        <f>+IF(Índice!$D$2=1,"Investimento","Investment")</f>
        <v>Investment</v>
      </c>
      <c r="D32" s="56">
        <v>8126.6126200000053</v>
      </c>
      <c r="E32" s="56">
        <v>399.23827999999992</v>
      </c>
      <c r="F32" s="56">
        <v>3240.7575500000003</v>
      </c>
      <c r="G32" s="56">
        <v>11766.608450000005</v>
      </c>
      <c r="H32" s="56">
        <v>-41.450253508785586</v>
      </c>
    </row>
    <row r="33" spans="3:8">
      <c r="C33" s="68" t="str">
        <f>+IF(Índice!$D$2=1,"Transferências capital","Capital transfers")</f>
        <v>Capital transfers</v>
      </c>
      <c r="D33" s="56">
        <v>7209.8889700000027</v>
      </c>
      <c r="E33" s="56">
        <v>915.78125000000011</v>
      </c>
      <c r="F33" s="56">
        <v>18</v>
      </c>
      <c r="G33" s="56">
        <v>4827.0277900000019</v>
      </c>
      <c r="H33" s="56">
        <v>-62.138732029686359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3303.70991</v>
      </c>
      <c r="E34" s="56">
        <v>0</v>
      </c>
      <c r="F34" s="56">
        <v>0</v>
      </c>
      <c r="G34" s="56">
        <v>3303.70991</v>
      </c>
      <c r="H34" s="56">
        <v>29.210365119033433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3316.6424300000003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288416.73671000032</v>
      </c>
      <c r="E38" s="86">
        <v>130433.67758</v>
      </c>
      <c r="F38" s="86">
        <v>76133.069850000044</v>
      </c>
      <c r="G38" s="86">
        <v>307406.27449000027</v>
      </c>
      <c r="H38" s="86">
        <v>-1.1975393734001916</v>
      </c>
    </row>
    <row r="39" spans="3:8" ht="17.25" customHeight="1">
      <c r="C39" s="138" t="str">
        <f>+IF(Índice!$D$2=1,"Saldo global","Overall balance")</f>
        <v>Overall balance</v>
      </c>
      <c r="D39" s="139">
        <v>48948.475269999704</v>
      </c>
      <c r="E39" s="139">
        <v>2247.0108299999993</v>
      </c>
      <c r="F39" s="139">
        <v>34442.34928999994</v>
      </c>
      <c r="G39" s="139">
        <v>85637.835389999731</v>
      </c>
      <c r="H39" s="139">
        <v>985.57791777795956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32650.123829999764</v>
      </c>
      <c r="E41" s="19">
        <v>1231.394140000004</v>
      </c>
      <c r="F41" s="19">
        <v>30204.093359999941</v>
      </c>
      <c r="G41" s="19">
        <v>64085.611329999752</v>
      </c>
      <c r="H41" s="19">
        <v>250.18783918911046</v>
      </c>
    </row>
    <row r="42" spans="3:8">
      <c r="C42" s="68" t="str">
        <f>+IF(Índice!$D$2=1,"Despesa corrente primária","Primary current expenditure")</f>
        <v>Primary current expenditure</v>
      </c>
      <c r="D42" s="19">
        <v>249575.39625000025</v>
      </c>
      <c r="E42" s="19">
        <v>129110.01896</v>
      </c>
      <c r="F42" s="19">
        <v>72597.381590000048</v>
      </c>
      <c r="G42" s="19">
        <v>267022.22958000028</v>
      </c>
      <c r="H42" s="19">
        <v>4.414562395497712</v>
      </c>
    </row>
    <row r="43" spans="3:8">
      <c r="C43" s="68" t="str">
        <f>+IF(Índice!$D$2=1,"Saldo corrente primário","Primary current balance")</f>
        <v>Primary current balance</v>
      </c>
      <c r="D43" s="19">
        <v>56154.962699999771</v>
      </c>
      <c r="E43" s="19">
        <v>1240.0332300000009</v>
      </c>
      <c r="F43" s="19">
        <v>30481.024069999941</v>
      </c>
      <c r="G43" s="19">
        <v>87876.019999999728</v>
      </c>
      <c r="H43" s="19">
        <v>115.14229856798738</v>
      </c>
    </row>
    <row r="44" spans="3:8">
      <c r="C44" s="68" t="str">
        <f>+IF(Índice!$D$2=1,"Saldo de capital","Capital balance")</f>
        <v>Capital balance</v>
      </c>
      <c r="D44" s="19">
        <v>16298.351439999995</v>
      </c>
      <c r="E44" s="19">
        <v>1015.6166900000003</v>
      </c>
      <c r="F44" s="19">
        <v>4238.2559299999994</v>
      </c>
      <c r="G44" s="19">
        <v>21552.224059999993</v>
      </c>
      <c r="H44" s="19">
        <v>307.00070528667669</v>
      </c>
    </row>
    <row r="45" spans="3:8">
      <c r="C45" s="68" t="str">
        <f t="array" ref="C45">+IF(Índice!$D$2=1,"Despesa primária","Primary expenditure")</f>
        <v>Primary expenditure</v>
      </c>
      <c r="D45" s="19">
        <v>264911.89784000034</v>
      </c>
      <c r="E45" s="19">
        <v>130425.03849000001</v>
      </c>
      <c r="F45" s="19">
        <v>75856.139140000043</v>
      </c>
      <c r="G45" s="19">
        <v>283615.8658200003</v>
      </c>
      <c r="H45" s="19">
        <v>-1.7225857039236292</v>
      </c>
    </row>
    <row r="46" spans="3:8">
      <c r="C46" s="221" t="str">
        <f>+IF(Índice!$D$2=1,"Saldo primário","Primary balance")</f>
        <v>Primary balance</v>
      </c>
      <c r="D46" s="132">
        <v>72453.314139999682</v>
      </c>
      <c r="E46" s="132">
        <v>2255.6499199999962</v>
      </c>
      <c r="F46" s="132">
        <v>34719.279999999941</v>
      </c>
      <c r="G46" s="132">
        <v>109428.24405999971</v>
      </c>
      <c r="H46" s="132">
        <v>259.56076544160862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E24" sqref="E2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(janeiro-março)","TABLE II - Regional Gov. budget execution (january-march)")</f>
        <v>TABLE II - Regional Gov. budget execution (january-march)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261318.96085</v>
      </c>
      <c r="E5" s="225">
        <v>305730.35895000002</v>
      </c>
      <c r="F5" s="225">
        <v>16.9950921110132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206812.51668</v>
      </c>
      <c r="E6" s="231">
        <v>246063.67040999999</v>
      </c>
      <c r="F6" s="231">
        <v>18.979099698657564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52077.681239999998</v>
      </c>
      <c r="E7" s="231">
        <v>75100.040260000009</v>
      </c>
      <c r="F7" s="231">
        <v>44.207726749394752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154734.83544</v>
      </c>
      <c r="E8" s="231">
        <v>170963.63014999998</v>
      </c>
      <c r="F8" s="231">
        <v>10.488132593964504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54506.444170000002</v>
      </c>
      <c r="E9" s="231">
        <v>59666.688540000003</v>
      </c>
      <c r="F9" s="231">
        <v>9.4672188739843843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17746.466539999998</v>
      </c>
      <c r="E10" s="232">
        <v>31634.853029999998</v>
      </c>
      <c r="F10" s="232">
        <v>78.260010006476492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279065.42739000003</v>
      </c>
      <c r="E12" s="232">
        <v>337365.21198000002</v>
      </c>
      <c r="F12" s="232">
        <v>20.891081039760895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257928.48428999967</v>
      </c>
      <c r="E14" s="232">
        <v>273080.23512000014</v>
      </c>
      <c r="F14" s="232">
        <v>5.8743999801761815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89456.727079999648</v>
      </c>
      <c r="E15" s="231">
        <v>95367.081020000085</v>
      </c>
      <c r="F15" s="231">
        <v>6.6069418510191102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42833.567080000044</v>
      </c>
      <c r="E16" s="231">
        <v>40916.260260000032</v>
      </c>
      <c r="F16" s="231">
        <v>-4.4761782655623028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22326.467009999997</v>
      </c>
      <c r="E17" s="231">
        <v>23504.83887</v>
      </c>
      <c r="F17" s="231">
        <v>5.2779145911093339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97268.225080000018</v>
      </c>
      <c r="E18" s="231">
        <v>108914.46296000003</v>
      </c>
      <c r="F18" s="231">
        <v>11.973322089943927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82326.088450000025</v>
      </c>
      <c r="E19" s="231">
        <v>95928.701220000032</v>
      </c>
      <c r="F19" s="231">
        <v>16.522845948476505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14942.136629999997</v>
      </c>
      <c r="E20" s="231">
        <v>12985.761739999998</v>
      </c>
      <c r="F20" s="231">
        <v>-13.093006297855004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5851.0844300000008</v>
      </c>
      <c r="E21" s="231">
        <v>4190.5727999999999</v>
      </c>
      <c r="F21" s="231">
        <v>-28.379553395027678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192.41360999999995</v>
      </c>
      <c r="E22" s="231">
        <v>187.01921000000002</v>
      </c>
      <c r="F22" s="231">
        <v>-2.8035438865264939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30368.693920000012</v>
      </c>
      <c r="E23" s="232">
        <v>15336.501590000005</v>
      </c>
      <c r="F23" s="232">
        <v>-49.498975390904796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16398.928070000013</v>
      </c>
      <c r="E24" s="231">
        <v>8126.6126200000053</v>
      </c>
      <c r="F24" s="231">
        <v>-50.444244981678253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13969.765849999998</v>
      </c>
      <c r="E25" s="231">
        <v>7209.88897</v>
      </c>
      <c r="F25" s="231">
        <v>-48.389335602214111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13796.584779999997</v>
      </c>
      <c r="E26" s="231">
        <v>6620.3523400000004</v>
      </c>
      <c r="F26" s="231">
        <v>-52.014556895289843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173.18107000000001</v>
      </c>
      <c r="E27" s="231">
        <v>589.53663000000006</v>
      </c>
      <c r="F27" s="231">
        <v>240.41632263849624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288297.17820999969</v>
      </c>
      <c r="E29" s="235">
        <v>288416.73671000014</v>
      </c>
      <c r="F29" s="235">
        <v>4.1470575862989634E-2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-9231.7508199996846</v>
      </c>
      <c r="E31" s="139">
        <v>48948.475269999872</v>
      </c>
      <c r="F31" s="139">
        <v>630.21876591337139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3390.4765600003302</v>
      </c>
      <c r="E33" s="19">
        <v>32650.12382999988</v>
      </c>
      <c r="F33" s="19">
        <v>862.99512036728845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-12622.227380000015</v>
      </c>
      <c r="E34" s="19">
        <v>16298.351439999993</v>
      </c>
      <c r="F34" s="19">
        <v>229.1242104054061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13094.716190000312</v>
      </c>
      <c r="E35" s="19">
        <v>72453.314139999871</v>
      </c>
      <c r="F35" s="19">
        <v>453.30190504875804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254.62216000000001</v>
      </c>
      <c r="E36" s="106">
        <v>320.47449</v>
      </c>
      <c r="F36" s="106">
        <v>25.862764654890992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E24" sqref="E24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(março)","TABLE III - Regional Gov. budget execution (march)")</f>
        <v>TABLE III - Regional Gov. budget execution (march)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96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84123.307720000012</v>
      </c>
      <c r="E5" s="225">
        <v>99326.069649999976</v>
      </c>
      <c r="F5" s="225">
        <v>18.071997335865063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79848.583160000024</v>
      </c>
      <c r="E6" s="231">
        <v>97204.734039999996</v>
      </c>
      <c r="F6" s="231">
        <v>21.736329178467507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25072.209439999995</v>
      </c>
      <c r="E7" s="231">
        <v>36128.978350000012</v>
      </c>
      <c r="F7" s="231">
        <v>44.099699057076869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54776.373720000025</v>
      </c>
      <c r="E8" s="231">
        <v>61075.755689999984</v>
      </c>
      <c r="F8" s="231">
        <v>11.500180720615894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4274.724559999996</v>
      </c>
      <c r="E9" s="231">
        <v>2121.3356099999987</v>
      </c>
      <c r="F9" s="231">
        <v>-50.374917021554232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3379.4584799999993</v>
      </c>
      <c r="E10" s="232">
        <v>977.12414000000274</v>
      </c>
      <c r="F10" s="232">
        <v>-71.086369435140895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87502.766200000013</v>
      </c>
      <c r="E12" s="232">
        <v>100303.19378999998</v>
      </c>
      <c r="F12" s="232">
        <v>14.628597638550955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92041.43807999976</v>
      </c>
      <c r="E14" s="232">
        <v>92183.117580000486</v>
      </c>
      <c r="F14" s="232">
        <v>0.15393012425293229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32401.120369999699</v>
      </c>
      <c r="E15" s="231">
        <v>33921.903880000347</v>
      </c>
      <c r="F15" s="231">
        <v>4.693613963450316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8983.1361100000358</v>
      </c>
      <c r="E16" s="231">
        <v>5181.3207500000372</v>
      </c>
      <c r="F16" s="231">
        <v>-42.32169382102331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3764.8067099999971</v>
      </c>
      <c r="E17" s="231">
        <v>3816.5991299999991</v>
      </c>
      <c r="F17" s="231">
        <v>1.3756993117981953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45392.442780000019</v>
      </c>
      <c r="E18" s="231">
        <v>44958.0962600001</v>
      </c>
      <c r="F18" s="231">
        <v>-0.95686967565290493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1403.6824500000002</v>
      </c>
      <c r="E19" s="231">
        <v>4190.5727999999999</v>
      </c>
      <c r="F19" s="231">
        <v>198.54136881172798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96.249659999999963</v>
      </c>
      <c r="E20" s="231">
        <v>114.62476000000007</v>
      </c>
      <c r="F20" s="231">
        <v>19.091080425634853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15390.038770000014</v>
      </c>
      <c r="E21" s="232">
        <v>5066.2108500000031</v>
      </c>
      <c r="F21" s="232">
        <v>-67.081234000036247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8275.7788400000154</v>
      </c>
      <c r="E22" s="231">
        <v>2205.4762800000012</v>
      </c>
      <c r="F22" s="231">
        <v>-73.350226937673966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7114.2599299999993</v>
      </c>
      <c r="E23" s="231">
        <v>2860.7345700000023</v>
      </c>
      <c r="F23" s="231">
        <v>-59.788725768415908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107431.47684999977</v>
      </c>
      <c r="E25" s="300">
        <v>97249.328430000489</v>
      </c>
      <c r="F25" s="300">
        <v>-9.4778073601427089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-19928.710649999761</v>
      </c>
      <c r="E27" s="287">
        <v>3053.8653599994868</v>
      </c>
      <c r="F27" s="287">
        <v>115.3239485164562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-7918.1303599997482</v>
      </c>
      <c r="E29" s="19">
        <v>7142.95206999949</v>
      </c>
      <c r="F29" s="19">
        <v>190.21008426539362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-12010.580290000014</v>
      </c>
      <c r="E30" s="19">
        <v>-4089.0867100000005</v>
      </c>
      <c r="F30" s="19">
        <v>65.954295202501029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-16163.903939999764</v>
      </c>
      <c r="E31" s="19">
        <v>6870.4644899994855</v>
      </c>
      <c r="F31" s="19">
        <v>142.50498218439415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E24" sqref="E24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(janeiro-março)","TABLE IV - Regional Gov. tax revenue budget execution (january-march)")</f>
        <v>TABLE IV - Regional Gov. tax revenue budget execution (january-march)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206812.51668</v>
      </c>
      <c r="E5" s="33">
        <v>246063.67040999999</v>
      </c>
      <c r="F5" s="270">
        <v>0.18979099698657564</v>
      </c>
      <c r="G5" s="270">
        <v>0.22948442878487296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52077.681239999998</v>
      </c>
      <c r="E7" s="70">
        <v>75100.040260000009</v>
      </c>
      <c r="F7" s="271">
        <v>0.44207726749394749</v>
      </c>
      <c r="G7" s="271">
        <v>0.19814109679037795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48430.338899999995</v>
      </c>
      <c r="E8" s="70">
        <v>49335.657220000001</v>
      </c>
      <c r="F8" s="271">
        <v>1.8693206377707217E-2</v>
      </c>
      <c r="G8" s="271">
        <v>0.20534967174313071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3647.3423399999997</v>
      </c>
      <c r="E9" s="70">
        <v>25764.383040000004</v>
      </c>
      <c r="F9" s="271">
        <v>6.0638784732227808</v>
      </c>
      <c r="G9" s="271">
        <v>0.18566101863171852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154734.83544</v>
      </c>
      <c r="E11" s="70">
        <v>170963.63014999998</v>
      </c>
      <c r="F11" s="271">
        <v>0.10488132593964505</v>
      </c>
      <c r="G11" s="271">
        <v>0.24662155820550036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5630.5464199999997</v>
      </c>
      <c r="E12" s="70">
        <v>6403.9728399999995</v>
      </c>
      <c r="F12" s="271">
        <v>0.13736258656047085</v>
      </c>
      <c r="G12" s="271">
        <v>0.12433932976079527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128234.61078</v>
      </c>
      <c r="E13" s="70">
        <v>143688.55958</v>
      </c>
      <c r="F13" s="271">
        <v>0.1205130869583475</v>
      </c>
      <c r="G13" s="271">
        <v>0.27235952180452028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1176.1971000000001</v>
      </c>
      <c r="E14" s="70">
        <v>799.34935999999993</v>
      </c>
      <c r="F14" s="271">
        <v>-0.32039505963753878</v>
      </c>
      <c r="G14" s="271">
        <v>0.15615342058995896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5239.9028899999994</v>
      </c>
      <c r="E15" s="70">
        <v>5820.0546699999995</v>
      </c>
      <c r="F15" s="271">
        <v>0.11071804042536382</v>
      </c>
      <c r="G15" s="271">
        <v>0.15520145786666664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1698.4453100000001</v>
      </c>
      <c r="E16" s="70">
        <v>2114.7222400000001</v>
      </c>
      <c r="F16" s="271">
        <v>0.24509292560029494</v>
      </c>
      <c r="G16" s="271">
        <v>0.1915509275362319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12755.13294</v>
      </c>
      <c r="E17" s="70">
        <v>12136.971459999999</v>
      </c>
      <c r="F17" s="271">
        <v>-4.8463742628777395E-2</v>
      </c>
      <c r="G17" s="271">
        <v>0.20064382501264835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7130.6010199999992</v>
      </c>
      <c r="E18" s="70">
        <v>6943.7952299999997</v>
      </c>
      <c r="F18" s="271">
        <v>-2.6197762218927112E-2</v>
      </c>
      <c r="G18" s="271">
        <v>0.20369680801443851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648.44985999999983</v>
      </c>
      <c r="E19" s="70">
        <v>770.54159000000016</v>
      </c>
      <c r="F19" s="271">
        <v>0.18828245255539167</v>
      </c>
      <c r="G19" s="271">
        <v>0.10078689189740672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72252.910709999996</v>
      </c>
      <c r="E21" s="33">
        <v>91301.541570000001</v>
      </c>
      <c r="F21" s="270">
        <v>0.26363824893442844</v>
      </c>
      <c r="G21" s="270">
        <v>0.16418346675445411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279065.42738999997</v>
      </c>
      <c r="E23" s="139">
        <v>337365.21198000002</v>
      </c>
      <c r="F23" s="274">
        <v>0.20891081039760917</v>
      </c>
      <c r="G23" s="274">
        <v>0.20718349140820214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E24" sqref="E2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(janeiro-março)","TABLE V - Regional Gov. non-tax revenue budget execution (january-march)")</f>
        <v>TABLE V - Regional Gov. non-tax revenue budget execution (january-march)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206812.51668</v>
      </c>
      <c r="E5" s="41">
        <v>246063.67040999999</v>
      </c>
      <c r="F5" s="276">
        <v>0.18979099698657564</v>
      </c>
      <c r="G5" s="42">
        <v>0.22948442878487296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72252.910709999996</v>
      </c>
      <c r="E7" s="41">
        <v>91301.541570000001</v>
      </c>
      <c r="F7" s="276">
        <v>0.26363824893442844</v>
      </c>
      <c r="G7" s="42">
        <v>0.16418346675445411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54506.444170000002</v>
      </c>
      <c r="E8" s="41">
        <v>59666.688540000003</v>
      </c>
      <c r="F8" s="276">
        <v>9.4672188739843843E-2</v>
      </c>
      <c r="G8" s="42">
        <v>0.21998469555973355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4408.2635399999999</v>
      </c>
      <c r="E10" s="71">
        <v>4666.8881000000019</v>
      </c>
      <c r="F10" s="278">
        <v>5.866812581717884E-2</v>
      </c>
      <c r="G10" s="43">
        <v>0.19324088299992245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367.49040000000002</v>
      </c>
      <c r="E11" s="71">
        <v>210.08312999999998</v>
      </c>
      <c r="F11" s="278">
        <v>-0.4283302910769915</v>
      </c>
      <c r="G11" s="43">
        <v>2.4256075358974866E-2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45503.243410000003</v>
      </c>
      <c r="E12" s="71">
        <v>49427.383310000005</v>
      </c>
      <c r="F12" s="278">
        <v>8.6238685551316419E-2</v>
      </c>
      <c r="G12" s="43">
        <v>0.25275564548216939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2460.9899599999999</v>
      </c>
      <c r="E13" s="47">
        <v>2689.3395899999991</v>
      </c>
      <c r="F13" s="278">
        <v>9.278771295759336E-2</v>
      </c>
      <c r="G13" s="43">
        <v>0.26931210011977808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1766.45686</v>
      </c>
      <c r="E14" s="71">
        <v>2672.9944099999998</v>
      </c>
      <c r="F14" s="278">
        <v>0.51319540857623869</v>
      </c>
      <c r="G14" s="43">
        <v>8.1296859769162663E-2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17746.466539999998</v>
      </c>
      <c r="E17" s="41">
        <v>31634.853029999998</v>
      </c>
      <c r="F17" s="276">
        <v>0.78260010006476488</v>
      </c>
      <c r="G17" s="42">
        <v>0.11105266295500625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164.82</v>
      </c>
      <c r="E18" s="71">
        <v>731.44</v>
      </c>
      <c r="F18" s="278">
        <v>3.4378109452736325</v>
      </c>
      <c r="G18" s="43">
        <v>2.6943751456196239E-2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15943.781989999999</v>
      </c>
      <c r="E19" s="44">
        <v>29835.220009999997</v>
      </c>
      <c r="F19" s="278">
        <v>0.87127621468436778</v>
      </c>
      <c r="G19" s="43">
        <v>0.11991368372441477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2.4432</v>
      </c>
      <c r="E20" s="71">
        <v>1.7054400000000001</v>
      </c>
      <c r="F20" s="278">
        <v>-0.30196463654223971</v>
      </c>
      <c r="G20" s="43">
        <v>0.82388405797101461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1635.4213500000001</v>
      </c>
      <c r="E21" s="47">
        <v>1066.4875799999998</v>
      </c>
      <c r="F21" s="278">
        <v>-0.3478820733262411</v>
      </c>
      <c r="G21" s="43">
        <v>0.11971263917528085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279065.42738999997</v>
      </c>
      <c r="E23" s="287">
        <v>337365.21198000002</v>
      </c>
      <c r="F23" s="288">
        <v>0.20891081039760917</v>
      </c>
      <c r="G23" s="288">
        <v>0.20718349140820214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E24" sqref="E2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(janeiro-março)","TABLE VI - Regional Gov. expenditure budget execution (january-march)")</f>
        <v>TABLE VI - Regional Gov. expenditure budget execution (january-march)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2023</v>
      </c>
      <c r="E3" s="330">
        <v>2024</v>
      </c>
      <c r="F3" s="153">
        <v>2023</v>
      </c>
      <c r="G3" s="153">
        <v>2024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257928.48428999967</v>
      </c>
      <c r="E5" s="253">
        <v>273080.23512000014</v>
      </c>
      <c r="F5" s="253">
        <v>18.502848671002951</v>
      </c>
      <c r="G5" s="253">
        <v>18.366429512849479</v>
      </c>
      <c r="H5" s="253">
        <v>5.8743999801761833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89456.727079999648</v>
      </c>
      <c r="E6" s="74">
        <v>95367.081020000085</v>
      </c>
      <c r="F6" s="74">
        <v>20.195883733249488</v>
      </c>
      <c r="G6" s="74">
        <v>20.870429197264254</v>
      </c>
      <c r="H6" s="254">
        <v>6.6069418510191049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76571.687429999904</v>
      </c>
      <c r="E7" s="75">
        <v>81561.148760000084</v>
      </c>
      <c r="F7" s="75">
        <v>21.714675757563779</v>
      </c>
      <c r="G7" s="75">
        <v>22.440497677995626</v>
      </c>
      <c r="H7" s="254">
        <v>6.5160655295228169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828.05686000000003</v>
      </c>
      <c r="E8" s="75">
        <v>878.07447999999988</v>
      </c>
      <c r="F8" s="75">
        <v>10.926941652158893</v>
      </c>
      <c r="G8" s="75">
        <v>11.368074138413851</v>
      </c>
      <c r="H8" s="254">
        <v>6.0403605617130989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12056.982790000016</v>
      </c>
      <c r="E9" s="75">
        <v>12927.857780000002</v>
      </c>
      <c r="F9" s="75">
        <v>14.571994153596911</v>
      </c>
      <c r="G9" s="75">
        <v>15.072854970280803</v>
      </c>
      <c r="H9" s="254">
        <v>7.2229927268560408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42833.567080000044</v>
      </c>
      <c r="E10" s="75">
        <v>40916.260260000032</v>
      </c>
      <c r="F10" s="75">
        <v>21.543162842477734</v>
      </c>
      <c r="G10" s="75">
        <v>19.963276148721143</v>
      </c>
      <c r="H10" s="254">
        <v>-4.4761782655623046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22326.467009999997</v>
      </c>
      <c r="E11" s="75">
        <v>23504.83887</v>
      </c>
      <c r="F11" s="75">
        <v>14.864766451380621</v>
      </c>
      <c r="G11" s="75">
        <v>16.011114623445973</v>
      </c>
      <c r="H11" s="254">
        <v>5.2779145911093392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97268.225080000018</v>
      </c>
      <c r="E12" s="74">
        <v>108914.46296000003</v>
      </c>
      <c r="F12" s="74">
        <v>17.028046544720397</v>
      </c>
      <c r="G12" s="74">
        <v>17.296526858385477</v>
      </c>
      <c r="H12" s="254">
        <v>11.97332208994392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82326.088450000025</v>
      </c>
      <c r="E13" s="74">
        <v>95928.701220000032</v>
      </c>
      <c r="F13" s="74">
        <v>18.079024570935083</v>
      </c>
      <c r="G13" s="74">
        <v>18.469022634275621</v>
      </c>
      <c r="H13" s="254">
        <v>16.522845948476498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82326.088450000025</v>
      </c>
      <c r="E15" s="75">
        <v>95928.701220000032</v>
      </c>
      <c r="F15" s="75">
        <v>18.089445443954734</v>
      </c>
      <c r="G15" s="75">
        <v>18.486108974260823</v>
      </c>
      <c r="H15" s="254">
        <v>16.522845948476498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97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97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14942.136629999997</v>
      </c>
      <c r="E18" s="75">
        <v>12985.761739999998</v>
      </c>
      <c r="F18" s="72">
        <v>12.897201500315258</v>
      </c>
      <c r="G18" s="72">
        <v>11.774565203100467</v>
      </c>
      <c r="H18" s="77">
        <v>-13.093006297855004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5851.0844300000008</v>
      </c>
      <c r="E19" s="72">
        <v>4190.5727999999999</v>
      </c>
      <c r="F19" s="72">
        <v>24.841961930486818</v>
      </c>
      <c r="G19" s="72">
        <v>9.4392406824228328</v>
      </c>
      <c r="H19" s="77">
        <v>-28.379553395027674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192.41360999999995</v>
      </c>
      <c r="E20" s="72">
        <v>187.01921000000002</v>
      </c>
      <c r="F20" s="72">
        <v>2.6550029121555614</v>
      </c>
      <c r="G20" s="72">
        <v>4.6175712884712814</v>
      </c>
      <c r="H20" s="77">
        <v>-2.8035438865264961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235602.01727999968</v>
      </c>
      <c r="E22" s="78">
        <v>249575.39625000014</v>
      </c>
      <c r="F22" s="78">
        <v>18.942172962803159</v>
      </c>
      <c r="G22" s="78">
        <v>18.624457341393139</v>
      </c>
      <c r="H22" s="76">
        <v>5.9309250113057761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30368.693920000012</v>
      </c>
      <c r="E24" s="78">
        <v>15336.501590000005</v>
      </c>
      <c r="F24" s="78">
        <v>9.4114266798713739</v>
      </c>
      <c r="G24" s="78">
        <v>5.1703825676799884</v>
      </c>
      <c r="H24" s="76">
        <v>-49.498975390904796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16398.928070000013</v>
      </c>
      <c r="E25" s="72">
        <v>8126.6126200000053</v>
      </c>
      <c r="F25" s="72">
        <v>7.4819252222755024</v>
      </c>
      <c r="G25" s="72">
        <v>4.2387004938287589</v>
      </c>
      <c r="H25" s="77">
        <v>-50.444244981678253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13969.765849999998</v>
      </c>
      <c r="E26" s="59">
        <v>7209.88897</v>
      </c>
      <c r="F26" s="59">
        <v>13.763537274180237</v>
      </c>
      <c r="G26" s="59">
        <v>6.8732358832023426</v>
      </c>
      <c r="H26" s="77">
        <v>-48.389335602214111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13796.584779999997</v>
      </c>
      <c r="E27" s="59">
        <v>6620.3523400000004</v>
      </c>
      <c r="F27" s="59">
        <v>15.803070632356045</v>
      </c>
      <c r="G27" s="59">
        <v>10.18179745299436</v>
      </c>
      <c r="H27" s="77">
        <v>-52.014556895289843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1866.0115800000001</v>
      </c>
      <c r="E28" s="72">
        <v>2873.0210000000002</v>
      </c>
      <c r="F28" s="72">
        <v>40.46429081023927</v>
      </c>
      <c r="G28" s="72">
        <v>37.485470083016722</v>
      </c>
      <c r="H28" s="77">
        <v>53.965871958843906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11239.738889999997</v>
      </c>
      <c r="E29" s="72">
        <v>3316.6424300000003</v>
      </c>
      <c r="F29" s="72">
        <v>14.579862285591267</v>
      </c>
      <c r="G29" s="72">
        <v>6.3733547256708087</v>
      </c>
      <c r="H29" s="77">
        <v>-70.49181958354194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690.83431000000007</v>
      </c>
      <c r="E30" s="72">
        <v>430.68890999999996</v>
      </c>
      <c r="F30" s="72">
        <v>12.334467983753878</v>
      </c>
      <c r="G30" s="72">
        <v>8.0988576875407698</v>
      </c>
      <c r="H30" s="77">
        <v>-37.656699476897735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288297.17820999969</v>
      </c>
      <c r="E33" s="142">
        <v>288416.73671000014</v>
      </c>
      <c r="F33" s="143">
        <v>16.793954928504146</v>
      </c>
      <c r="G33" s="143">
        <v>16.171692475811568</v>
      </c>
      <c r="H33" s="141">
        <v>4.1470575862994477E-2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254.62216000000001</v>
      </c>
      <c r="E36" s="150">
        <v>320.47449</v>
      </c>
      <c r="F36" s="150">
        <v>0.26029930608670243</v>
      </c>
      <c r="G36" s="150">
        <v>0.41465860180118747</v>
      </c>
      <c r="H36" s="128">
        <v>25.862764654890992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47432.535530000001</v>
      </c>
      <c r="E37" s="150">
        <v>52783.964859999993</v>
      </c>
      <c r="F37" s="150">
        <v>18.015803238443844</v>
      </c>
      <c r="G37" s="150">
        <v>19.935248943437518</v>
      </c>
      <c r="H37" s="128">
        <v>11.28219115888362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E24" sqref="E24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(janeiro-março)","TABLE VII - Regional Gov. expenditure by functional classification (january-march)")</f>
        <v>TABLE VII - Regional Gov. expenditure by functional classification (january-march)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2023</v>
      </c>
      <c r="E3" s="333">
        <v>2024</v>
      </c>
      <c r="F3" s="334" t="str">
        <f>+IF(Índice!$D$2=1,"Peso na estrutura
 em 2024","Weight in 2024 structure")</f>
        <v>Weight in 2024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41919.278320000012</v>
      </c>
      <c r="E5" s="34">
        <v>41969.335539999985</v>
      </c>
      <c r="F5" s="34">
        <v>14.551629707328564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2029.4258899999998</v>
      </c>
      <c r="E7" s="34">
        <v>2049.8343500000001</v>
      </c>
      <c r="F7" s="34">
        <v>0.71071962514473852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66374.869659999997</v>
      </c>
      <c r="E8" s="34">
        <v>52723.800980000058</v>
      </c>
      <c r="F8" s="34">
        <v>18.280423522374594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3554.8787699999993</v>
      </c>
      <c r="E9" s="34">
        <v>4025.7860499999997</v>
      </c>
      <c r="F9" s="34">
        <v>1.3958226197004246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14073.601309999996</v>
      </c>
      <c r="E10" s="34">
        <v>7015.1273199999996</v>
      </c>
      <c r="F10" s="34">
        <v>2.4322885696656482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68265.608989999993</v>
      </c>
      <c r="E11" s="34">
        <v>82213.423120000021</v>
      </c>
      <c r="F11" s="34">
        <v>28.505080550392858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5526.3770799999947</v>
      </c>
      <c r="E12" s="34">
        <v>4434.2919499999998</v>
      </c>
      <c r="F12" s="34">
        <v>1.5374599964559728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82716.644660000093</v>
      </c>
      <c r="E13" s="34">
        <v>91136.577530000024</v>
      </c>
      <c r="F13" s="34">
        <v>31.598921258732936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3836.4935300000006</v>
      </c>
      <c r="E14" s="34">
        <v>2848.5598699999996</v>
      </c>
      <c r="F14" s="34">
        <v>0.98765415020425662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288297.1782100001</v>
      </c>
      <c r="E17" s="145">
        <v>288416.73671000008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254.62216000000001</v>
      </c>
      <c r="E20" s="152">
        <v>320.47449</v>
      </c>
      <c r="F20" s="152">
        <v>0.11111508078750425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47432.535530000001</v>
      </c>
      <c r="E21" s="283">
        <v>52783.964859999993</v>
      </c>
      <c r="F21" s="283">
        <v>18.301283573939642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LongProperties xmlns="http://schemas.microsoft.com/office/2006/metadata/longProperties"/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2024-05-07T10:30:44Z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