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Julho\"/>
    </mc:Choice>
  </mc:AlternateContent>
  <xr:revisionPtr revIDLastSave="0" documentId="13_ncr:1_{331343A4-6C9C-449B-A612-3C9DB613EE2A}" xr6:coauthVersionLast="47" xr6:coauthVersionMax="47" xr10:uidLastSave="{00000000-0000-0000-0000-000000000000}"/>
  <bookViews>
    <workbookView xWindow="-28920" yWindow="-120" windowWidth="29040" windowHeight="15720" tabRatio="953" activeTab="9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" i="12" l="1"/>
  <c r="K3" i="12"/>
  <c r="H3" i="12"/>
  <c r="C2" i="10"/>
  <c r="C2" i="1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32"/>
  <c r="C2" i="8"/>
  <c r="C2" i="60"/>
  <c r="C2" i="9"/>
  <c r="C2" i="50"/>
  <c r="E2" i="53"/>
  <c r="F3" i="11" l="1"/>
  <c r="G3" i="32"/>
  <c r="L3" i="12"/>
  <c r="M3" i="12"/>
  <c r="I3" i="12" l="1"/>
  <c r="J3" i="12"/>
  <c r="A15" i="54" l="1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<sst xmlns="http://schemas.openxmlformats.org/spreadsheetml/2006/main" count="126" uniqueCount="103">
  <si>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</si>
  <si>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</si>
  <si>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</si>
  <si>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</si>
  <si>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</si>
  <si>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</si>
  <si>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</si>
  <si>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</si>
  <si>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</si>
  <si>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</si>
  <si>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</si>
  <si>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</si>
  <si>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</si>
  <si>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</si>
  <si>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</si>
  <si>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</si>
  <si>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</si>
  <si>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</si>
  <si>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</si>
  <si>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</si>
  <si>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</si>
  <si>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</si>
  <si>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</si>
  <si>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</si>
  <si>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</si>
  <si>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</si>
  <si>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</si>
  <si>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</si>
  <si>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</si>
  <si>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</si>
  <si>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</si>
  <si>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</si>
  <si>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</si>
  <si>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</si>
  <si>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</si>
  <si>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</si>
  <si>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</si>
  <si>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</si>
  <si>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</si>
  <si>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</si>
  <si>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</si>
  <si>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</si>
  <si>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</si>
  <si>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</si>
  <si>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Direção Regional do Ordenamento do Território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</si>
  <si>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</si>
  <si>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</si>
  <si>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</si>
  <si>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</si>
  <si>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</si>
  <si>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</si>
  <si>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</si>
  <si>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</si>
  <si>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</si>
  <si>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</si>
  <si>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</si>
  <si>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</si>
  <si>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</si>
  <si>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</si>
  <si>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</si>
  <si>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</si>
  <si>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</si>
  <si>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</si>
  <si>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</si>
  <si>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</si>
  <si>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</si>
  <si>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</si>
  <si>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Planeamento, Recursos e Infraestruturas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</si>
  <si>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</si>
  <si>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</si>
  <si>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</si>
  <si>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</si>
  <si>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</si>
  <si>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</si>
  <si>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</si>
  <si>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</si>
  <si>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</si>
  <si>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</si>
  <si>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</si>
  <si>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</si>
  <si>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</si>
  <si>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</si>
  <si>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</si>
  <si>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EHTM-Escola de Hotelaria e Turismo da Madeira</t>
  </si>
  <si>
    <t>CARAM -Centro de Abate da Região Autónoma da Madeira, EPERAM</t>
  </si>
  <si>
    <t>Secretaria Regional de Equipamentos e Infraestruturas</t>
  </si>
  <si>
    <t>Direção Regional do Ambiente e Mar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</si>
  <si>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</si>
  <si>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</si>
  <si>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</si>
  <si>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</si>
  <si>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</si>
  <si>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</si>
  <si>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</si>
  <si>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</si>
  <si>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</si>
  <si>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Instituto das Artes da Madeira</t>
  </si>
  <si>
    <t>Invest-Madeira- Agência para a Internacionalização e Investimento</t>
  </si>
  <si>
    <t>Horários do Funchal - Transportes Públicos S.A.</t>
  </si>
  <si>
    <t>TIIM - Transportes Integrados e Intermodais da Madeira, S.A.</t>
  </si>
  <si>
    <t>VH (%)</t>
  </si>
  <si>
    <t>-</t>
  </si>
  <si>
    <t>Secretaria Regional de Turismo, Ambiente e Cultura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</si>
</sst>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4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0" fontId="70" fillId="0" borderId="38" xfId="0" applyFont="1" applyBorder="1"/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0" fontId="70" fillId="0" borderId="0" xfId="0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8" fillId="0" borderId="21" xfId="62" applyFont="1" applyBorder="1" applyAlignment="1">
      <alignment horizontal="center" vertical="center"/>
    </xf>
    <xf numFmtId="0" fontId="65" fillId="0" borderId="25" xfId="62" applyFont="1" applyBorder="1" applyAlignment="1">
      <alignment horizont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25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08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zoomScale="80" zoomScaleNormal="80" workbookViewId="0">
      <selection activeCell="R11" sqref="R11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tabSelected="1" zoomScale="120" zoomScaleNormal="120" zoomScalePageLayoutView="115" workbookViewId="0">
      <selection activeCell="G3" sqref="G3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>
      <c r="C1" s="184"/>
      <c r="D1" s="184"/>
      <c r="E1" s="184"/>
      <c r="F1" s="185"/>
      <c r="G1" s="185"/>
      <c r="H1" s="185"/>
      <c r="I1" s="185"/>
      <c r="J1" s="185"/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(janeiro-julho)","TABLE VIII - Budget execution by organic and economic cross-classification (january-july)")</f>
        <v>TABLE VIII - Budget execution by organic and economic cross-classification (january-july)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Thousands</v>
      </c>
      <c r="P2" s="190" t="str">
        <f>+IF(Índice!$D$2=1,"índice","Index")</f>
        <v>Index</v>
      </c>
    </row>
    <row r="3" spans="2:16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322" t="str">
        <f>+IF(Índice!$D$2=1,"Turismo, Ambiente e Cultura","Tourism, Enviroment and Culture")</f>
        <v>Tourism, Enviroment and Culture</v>
      </c>
      <c r="H3" s="322" t="str">
        <f>+IF(Índice!$D$2=1,"Economia","Economy")</f>
        <v>Economy</v>
      </c>
      <c r="I3" s="192" t="str">
        <f>+IF(Índice!$D$2=1,"Saúde e Proteção Civil","Health and Civil Protection")</f>
        <v>Health and Civil Protection</v>
      </c>
      <c r="J3" s="192" t="str">
        <f>+IF(Índice!$D$2=1,"Finanças","Finances")</f>
        <v>Finances</v>
      </c>
      <c r="K3" s="192" t="str">
        <f>+IF(Índice!$D$2=1,"Agricultura, Pescas e Ambiente","Agriculture and Fisheries")</f>
        <v>Agriculture and Fisheries</v>
      </c>
      <c r="L3" s="192" t="str">
        <f>+IF(Índice!$D$2=1,"Inclusão, Trabalho e Jventude","Inclusion, Labor and Youth")</f>
        <v>Inclusion, Labor and Youth</v>
      </c>
      <c r="M3" s="192" t="str">
        <f>+IF(Índice!$D$2=1,"Equipamentos e Infraestruturas","Equipment and infrastructures")</f>
        <v>Equipment and infrastructures</v>
      </c>
      <c r="N3" s="193" t="s">
        <v>5</v>
      </c>
    </row>
    <row r="4" spans="2:16" ht="27" customHeight="1">
      <c r="C4" s="253" t="str">
        <f>+IF(Índice!$D$2=1,"Despesa corrente","Current expenditure")</f>
        <v>Current expenditure</v>
      </c>
      <c r="D4" s="194">
        <v>8315</v>
      </c>
      <c r="E4" s="194">
        <v>1409.98477</v>
      </c>
      <c r="F4" s="194">
        <v>264091.71043000021</v>
      </c>
      <c r="G4" s="194">
        <v>25309.680659999998</v>
      </c>
      <c r="H4" s="194">
        <v>4095.98002</v>
      </c>
      <c r="I4" s="194">
        <v>274855.01412000007</v>
      </c>
      <c r="J4" s="194">
        <v>128461.78429</v>
      </c>
      <c r="K4" s="194">
        <v>19819.065930000008</v>
      </c>
      <c r="L4" s="194">
        <v>12829.29477</v>
      </c>
      <c r="M4" s="194">
        <v>70312.124289999992</v>
      </c>
      <c r="N4" s="194">
        <v>809499.63928000035</v>
      </c>
    </row>
    <row r="5" spans="2:16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1134.52945</v>
      </c>
      <c r="F5" s="196">
        <v>210705.5424900002</v>
      </c>
      <c r="G5" s="196">
        <v>10594.697200000001</v>
      </c>
      <c r="H5" s="196">
        <v>1919.3977499999996</v>
      </c>
      <c r="I5" s="196">
        <v>3227.0709799999995</v>
      </c>
      <c r="J5" s="196">
        <v>19570.872739999988</v>
      </c>
      <c r="K5" s="196">
        <v>14330.460140000005</v>
      </c>
      <c r="L5" s="196">
        <v>4745.9034099999999</v>
      </c>
      <c r="M5" s="196">
        <v>10408.67403</v>
      </c>
      <c r="N5" s="196">
        <v>276637.14819000021</v>
      </c>
      <c r="O5" s="21"/>
    </row>
    <row r="6" spans="2:16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7">
        <v>865.60769000000005</v>
      </c>
      <c r="F6" s="197">
        <v>167594.54928000021</v>
      </c>
      <c r="G6" s="197">
        <v>8390.4198799999995</v>
      </c>
      <c r="H6" s="197">
        <v>1552.9288899999997</v>
      </c>
      <c r="I6" s="197">
        <v>2570.5605299999997</v>
      </c>
      <c r="J6" s="197">
        <v>14364.716679999989</v>
      </c>
      <c r="K6" s="197">
        <v>11065.998420000004</v>
      </c>
      <c r="L6" s="197">
        <v>3703.3415300000001</v>
      </c>
      <c r="M6" s="197">
        <v>8138.8280200000008</v>
      </c>
      <c r="N6" s="197">
        <v>218246.95092000021</v>
      </c>
    </row>
    <row r="7" spans="2:16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7">
        <v>33.72945</v>
      </c>
      <c r="F7" s="197">
        <v>7072.8892399999977</v>
      </c>
      <c r="G7" s="197">
        <v>409.09236999999996</v>
      </c>
      <c r="H7" s="197">
        <v>51.656639999999996</v>
      </c>
      <c r="I7" s="197">
        <v>89.368490000000008</v>
      </c>
      <c r="J7" s="197">
        <v>1933.7238400000001</v>
      </c>
      <c r="K7" s="197">
        <v>793.95620999999994</v>
      </c>
      <c r="L7" s="197">
        <v>250.91242999999997</v>
      </c>
      <c r="M7" s="197">
        <v>487.32051999999999</v>
      </c>
      <c r="N7" s="197">
        <v>11122.649189999998</v>
      </c>
    </row>
    <row r="8" spans="2:16" ht="15" customHeight="1">
      <c r="B8" s="195"/>
      <c r="C8" s="109" t="str">
        <f>+IF(Índice!$D$2=1,"Segurança social","Social security")</f>
        <v>Social security</v>
      </c>
      <c r="D8" s="197">
        <v>0</v>
      </c>
      <c r="E8" s="197">
        <v>235.19231000000002</v>
      </c>
      <c r="F8" s="197">
        <v>36038.103970000004</v>
      </c>
      <c r="G8" s="197">
        <v>1795.1849500000001</v>
      </c>
      <c r="H8" s="197">
        <v>314.81222000000002</v>
      </c>
      <c r="I8" s="197">
        <v>567.14196000000015</v>
      </c>
      <c r="J8" s="197">
        <v>3272.4322200000001</v>
      </c>
      <c r="K8" s="197">
        <v>2470.5055100000009</v>
      </c>
      <c r="L8" s="197">
        <v>791.64945</v>
      </c>
      <c r="M8" s="197">
        <v>1782.5254900000004</v>
      </c>
      <c r="N8" s="197">
        <v>47267.548080000008</v>
      </c>
    </row>
    <row r="9" spans="2:16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254.79474999999996</v>
      </c>
      <c r="F9" s="196">
        <v>10036.515659999994</v>
      </c>
      <c r="G9" s="196">
        <v>4886.7957899999992</v>
      </c>
      <c r="H9" s="196">
        <v>542.49277000000006</v>
      </c>
      <c r="I9" s="196">
        <v>436.83112000000006</v>
      </c>
      <c r="J9" s="196">
        <v>21200.736510000006</v>
      </c>
      <c r="K9" s="196">
        <v>850.23276000000033</v>
      </c>
      <c r="L9" s="196">
        <v>308.23188999999991</v>
      </c>
      <c r="M9" s="196">
        <v>37869.867959999996</v>
      </c>
      <c r="N9" s="196">
        <v>76386.499209999994</v>
      </c>
    </row>
    <row r="10" spans="2:16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7">
        <v>37.629949999999994</v>
      </c>
      <c r="F10" s="197">
        <v>6350.8201199999994</v>
      </c>
      <c r="G10" s="197">
        <v>85.60069</v>
      </c>
      <c r="H10" s="197">
        <v>5.8703400000000006</v>
      </c>
      <c r="I10" s="197">
        <v>36.204790000000003</v>
      </c>
      <c r="J10" s="197">
        <v>476.59570000000002</v>
      </c>
      <c r="K10" s="197">
        <v>87.472860000000026</v>
      </c>
      <c r="L10" s="197">
        <v>8.7469200000000011</v>
      </c>
      <c r="M10" s="197">
        <v>785.40696999999977</v>
      </c>
      <c r="N10" s="197">
        <v>7874.3483399999986</v>
      </c>
    </row>
    <row r="11" spans="2:16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7">
        <v>217.16479999999999</v>
      </c>
      <c r="F11" s="197">
        <v>3685.6955399999947</v>
      </c>
      <c r="G11" s="197">
        <v>4801.195099999999</v>
      </c>
      <c r="H11" s="197">
        <v>536.62243000000001</v>
      </c>
      <c r="I11" s="197">
        <v>400.62633000000005</v>
      </c>
      <c r="J11" s="197">
        <v>20724.140810000004</v>
      </c>
      <c r="K11" s="197">
        <v>762.75990000000024</v>
      </c>
      <c r="L11" s="197">
        <v>299.48496999999992</v>
      </c>
      <c r="M11" s="197">
        <v>37084.46099</v>
      </c>
      <c r="N11" s="197">
        <v>68512.150869999998</v>
      </c>
    </row>
    <row r="12" spans="2:16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0.16056999999999999</v>
      </c>
      <c r="F12" s="198">
        <v>8.0028799999999993</v>
      </c>
      <c r="G12" s="198">
        <v>4.4740000000000002E-2</v>
      </c>
      <c r="H12" s="198">
        <v>0</v>
      </c>
      <c r="I12" s="198">
        <v>5.0889999999999998E-2</v>
      </c>
      <c r="J12" s="198">
        <v>83584.584670000011</v>
      </c>
      <c r="K12" s="198">
        <v>0</v>
      </c>
      <c r="L12" s="198">
        <v>0</v>
      </c>
      <c r="M12" s="198">
        <v>0</v>
      </c>
      <c r="N12" s="198">
        <v>83592.843750000015</v>
      </c>
    </row>
    <row r="13" spans="2:16" ht="15" customHeight="1">
      <c r="B13" s="195"/>
      <c r="C13" s="104" t="str">
        <f>+IF(Índice!$D$2=1,"Transferências correntes","Current transfers")</f>
        <v>Current transfers</v>
      </c>
      <c r="D13" s="196">
        <v>8315</v>
      </c>
      <c r="E13" s="196">
        <v>20.5</v>
      </c>
      <c r="F13" s="196">
        <v>43316.150609999997</v>
      </c>
      <c r="G13" s="196">
        <v>9826.1058799999992</v>
      </c>
      <c r="H13" s="196">
        <v>1633.9895000000001</v>
      </c>
      <c r="I13" s="196">
        <v>271187.50902000006</v>
      </c>
      <c r="J13" s="196">
        <v>3706.4203300000004</v>
      </c>
      <c r="K13" s="196">
        <v>3505.1214900000004</v>
      </c>
      <c r="L13" s="196">
        <v>7775.1388700000007</v>
      </c>
      <c r="M13" s="196">
        <v>21897.591049999999</v>
      </c>
      <c r="N13" s="196">
        <v>371183.52675000008</v>
      </c>
    </row>
    <row r="14" spans="2:16" ht="15" customHeight="1">
      <c r="B14" s="195"/>
      <c r="C14" s="109" t="str">
        <f>IF(Índice!$D$2=1,"Administração Pública","Public Administration")</f>
        <v>Public Administration</v>
      </c>
      <c r="D14" s="200">
        <v>8315</v>
      </c>
      <c r="E14" s="200">
        <v>0</v>
      </c>
      <c r="F14" s="200">
        <v>12664.188190000001</v>
      </c>
      <c r="G14" s="200">
        <v>4764.53946</v>
      </c>
      <c r="H14" s="200">
        <v>1317.1535000000001</v>
      </c>
      <c r="I14" s="200">
        <v>270953.14329000004</v>
      </c>
      <c r="J14" s="200">
        <v>3594.1902400000004</v>
      </c>
      <c r="K14" s="200">
        <v>2857.8026600000003</v>
      </c>
      <c r="L14" s="200">
        <v>2785.9983100000004</v>
      </c>
      <c r="M14" s="200">
        <v>21871.730779999998</v>
      </c>
      <c r="N14" s="200">
        <v>329123.74643000006</v>
      </c>
    </row>
    <row r="15" spans="2:16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</row>
    <row r="16" spans="2:16" ht="15" customHeight="1">
      <c r="B16" s="195"/>
      <c r="C16" s="201" t="str">
        <f>IF(Índice!$D$2=1,"Administração Regional","Regional Administration")</f>
        <v>Regional Administration</v>
      </c>
      <c r="D16" s="198">
        <v>8315</v>
      </c>
      <c r="E16" s="198">
        <v>0</v>
      </c>
      <c r="F16" s="198">
        <v>12664.188190000001</v>
      </c>
      <c r="G16" s="198">
        <v>4764.53946</v>
      </c>
      <c r="H16" s="198">
        <v>1317.1535000000001</v>
      </c>
      <c r="I16" s="198">
        <v>270953.14329000004</v>
      </c>
      <c r="J16" s="198">
        <v>3594.1902400000004</v>
      </c>
      <c r="K16" s="198">
        <v>2857.8026600000003</v>
      </c>
      <c r="L16" s="198">
        <v>2785.9983100000004</v>
      </c>
      <c r="M16" s="198">
        <v>21871.730779999998</v>
      </c>
      <c r="N16" s="198">
        <v>329123.74643000006</v>
      </c>
    </row>
    <row r="17" spans="2:14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</row>
    <row r="18" spans="2:14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</row>
    <row r="19" spans="2:14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20.5</v>
      </c>
      <c r="F19" s="200">
        <v>30651.96242</v>
      </c>
      <c r="G19" s="200">
        <v>5061.5664200000001</v>
      </c>
      <c r="H19" s="200">
        <v>316.83600000000001</v>
      </c>
      <c r="I19" s="200">
        <v>234.36572999999999</v>
      </c>
      <c r="J19" s="200">
        <v>112.23009000000002</v>
      </c>
      <c r="K19" s="200">
        <v>647.31882999999993</v>
      </c>
      <c r="L19" s="200">
        <v>4989.1405599999998</v>
      </c>
      <c r="M19" s="200">
        <v>25.86027</v>
      </c>
      <c r="N19" s="200">
        <v>42059.780319999991</v>
      </c>
    </row>
    <row r="20" spans="2:14" hidden="1">
      <c r="B20" s="195"/>
      <c r="C20" s="187">
        <v>0</v>
      </c>
      <c r="D20" s="198">
        <v>0</v>
      </c>
      <c r="E20" s="198">
        <v>0</v>
      </c>
      <c r="F20" s="198">
        <v>11228.658460000006</v>
      </c>
      <c r="G20" s="198">
        <v>0.17499999999999999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0.56999999999999995</v>
      </c>
      <c r="N20" s="198">
        <v>11229.403460000005</v>
      </c>
    </row>
    <row r="21" spans="2:14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</row>
    <row r="22" spans="2:14" hidden="1">
      <c r="B22" s="195"/>
      <c r="C22" s="104">
        <v>0</v>
      </c>
      <c r="D22" s="198">
        <v>0</v>
      </c>
      <c r="E22" s="198">
        <v>20.5</v>
      </c>
      <c r="F22" s="198">
        <v>16391.895589999993</v>
      </c>
      <c r="G22" s="198">
        <v>4901.1671499999993</v>
      </c>
      <c r="H22" s="198">
        <v>315</v>
      </c>
      <c r="I22" s="198">
        <v>214.25</v>
      </c>
      <c r="J22" s="198">
        <v>14.726989999999999</v>
      </c>
      <c r="K22" s="198">
        <v>633.93567999999993</v>
      </c>
      <c r="L22" s="198">
        <v>2942.69256</v>
      </c>
      <c r="M22" s="198">
        <v>0</v>
      </c>
      <c r="N22" s="198">
        <v>25434.167969999991</v>
      </c>
    </row>
    <row r="23" spans="2:14" hidden="1">
      <c r="B23" s="195"/>
      <c r="C23" s="104">
        <v>0</v>
      </c>
      <c r="D23" s="198">
        <v>0</v>
      </c>
      <c r="E23" s="198">
        <v>0</v>
      </c>
      <c r="F23" s="198">
        <v>3031.4083699999996</v>
      </c>
      <c r="G23" s="198">
        <v>130.63327000000001</v>
      </c>
      <c r="H23" s="198">
        <v>1.8360000000000001</v>
      </c>
      <c r="I23" s="198">
        <v>20.115729999999999</v>
      </c>
      <c r="J23" s="198">
        <v>82.692100000000011</v>
      </c>
      <c r="K23" s="198">
        <v>13.383150000000001</v>
      </c>
      <c r="L23" s="198">
        <v>2046.4479999999999</v>
      </c>
      <c r="M23" s="198">
        <v>25.29027</v>
      </c>
      <c r="N23" s="198">
        <v>5351.8068899999998</v>
      </c>
    </row>
    <row r="24" spans="2:14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29.591000000000001</v>
      </c>
      <c r="H24" s="198">
        <v>0</v>
      </c>
      <c r="I24" s="198">
        <v>0</v>
      </c>
      <c r="J24" s="198">
        <v>14.811</v>
      </c>
      <c r="K24" s="198">
        <v>0</v>
      </c>
      <c r="L24" s="198">
        <v>0</v>
      </c>
      <c r="M24" s="198">
        <v>0</v>
      </c>
      <c r="N24" s="198">
        <v>44.402000000000001</v>
      </c>
    </row>
    <row r="25" spans="2:14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1092.4202000000002</v>
      </c>
      <c r="L25" s="198">
        <v>0</v>
      </c>
      <c r="M25" s="198">
        <v>115.27544</v>
      </c>
      <c r="N25" s="198">
        <v>1207.6956400000004</v>
      </c>
    </row>
    <row r="26" spans="2:14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25.498789999999996</v>
      </c>
      <c r="G26" s="198">
        <v>2.0370500000000002</v>
      </c>
      <c r="H26" s="198">
        <v>0.1</v>
      </c>
      <c r="I26" s="198">
        <v>3.5521099999999999</v>
      </c>
      <c r="J26" s="198">
        <v>399.17004000000003</v>
      </c>
      <c r="K26" s="198">
        <v>40.831339999999997</v>
      </c>
      <c r="L26" s="198">
        <v>2.06E-2</v>
      </c>
      <c r="M26" s="198">
        <v>20.715810000000001</v>
      </c>
      <c r="N26" s="198">
        <v>491.92574000000002</v>
      </c>
    </row>
    <row r="27" spans="2:14" ht="24.95" customHeight="1">
      <c r="B27" s="195"/>
      <c r="C27" s="202" t="str">
        <f>+IF(Índice!$D$2=1,"Despesa de capital","Capital expenditure")</f>
        <v>Capital expenditure</v>
      </c>
      <c r="D27" s="32">
        <v>20</v>
      </c>
      <c r="E27" s="32">
        <v>3.2188000000000003</v>
      </c>
      <c r="F27" s="32">
        <v>2094.4212700000003</v>
      </c>
      <c r="G27" s="32">
        <v>892.97483999999997</v>
      </c>
      <c r="H27" s="32">
        <v>3081.0181500000003</v>
      </c>
      <c r="I27" s="32">
        <v>492.09149000000002</v>
      </c>
      <c r="J27" s="32">
        <v>7399.8545499999991</v>
      </c>
      <c r="K27" s="32">
        <v>4195.7562500000004</v>
      </c>
      <c r="L27" s="32">
        <v>4499.8707400000003</v>
      </c>
      <c r="M27" s="32">
        <v>49410.595400000006</v>
      </c>
      <c r="N27" s="32">
        <v>72089.801490000013</v>
      </c>
    </row>
    <row r="28" spans="2:14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3.2188000000000003</v>
      </c>
      <c r="F28" s="198">
        <v>1926.0090500000003</v>
      </c>
      <c r="G28" s="198">
        <v>892.97483999999997</v>
      </c>
      <c r="H28" s="198">
        <v>32.817999999999998</v>
      </c>
      <c r="I28" s="198">
        <v>1.6533599999999999</v>
      </c>
      <c r="J28" s="198">
        <v>4363.2682799999993</v>
      </c>
      <c r="K28" s="198">
        <v>41.29918</v>
      </c>
      <c r="L28" s="198">
        <v>554.66563000000008</v>
      </c>
      <c r="M28" s="198">
        <v>28611.288139999997</v>
      </c>
      <c r="N28" s="198">
        <v>36427.19528</v>
      </c>
    </row>
    <row r="29" spans="2:14" ht="15" customHeight="1">
      <c r="C29" s="104" t="str">
        <f>+IF(Índice!$D$2=1,"Transferências capital","Capital transfers")</f>
        <v>Capital transfers</v>
      </c>
      <c r="D29" s="196">
        <v>20</v>
      </c>
      <c r="E29" s="196">
        <v>0</v>
      </c>
      <c r="F29" s="196">
        <v>168.41221999999999</v>
      </c>
      <c r="G29" s="196">
        <v>0</v>
      </c>
      <c r="H29" s="196">
        <v>3048.2001500000001</v>
      </c>
      <c r="I29" s="196">
        <v>490.43813</v>
      </c>
      <c r="J29" s="196">
        <v>3036.5862699999998</v>
      </c>
      <c r="K29" s="196">
        <v>4154.4570700000004</v>
      </c>
      <c r="L29" s="196">
        <v>3945.2051100000003</v>
      </c>
      <c r="M29" s="196">
        <v>20799.307260000005</v>
      </c>
      <c r="N29" s="196">
        <v>35662.606210000005</v>
      </c>
    </row>
    <row r="30" spans="2:14" ht="15" customHeight="1">
      <c r="C30" s="109" t="str">
        <f>IF(Índice!$D$2=1,"Administração Pública","Public Administration")</f>
        <v>Public Administration</v>
      </c>
      <c r="D30" s="200">
        <v>20</v>
      </c>
      <c r="E30" s="200">
        <v>0</v>
      </c>
      <c r="F30" s="200">
        <v>15.872499999999999</v>
      </c>
      <c r="G30" s="200">
        <v>0</v>
      </c>
      <c r="H30" s="200">
        <v>3048.2001500000001</v>
      </c>
      <c r="I30" s="200">
        <v>490.43813</v>
      </c>
      <c r="J30" s="200">
        <v>696.5862699999999</v>
      </c>
      <c r="K30" s="200">
        <v>4154.4570700000004</v>
      </c>
      <c r="L30" s="200">
        <v>70.910339999999991</v>
      </c>
      <c r="M30" s="200">
        <v>20799.307260000005</v>
      </c>
      <c r="N30" s="200">
        <v>29295.771720000004</v>
      </c>
    </row>
    <row r="31" spans="2:14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4154.4570700000004</v>
      </c>
      <c r="L31" s="198">
        <v>0</v>
      </c>
      <c r="M31" s="198">
        <v>0</v>
      </c>
      <c r="N31" s="198">
        <v>4154.4570700000004</v>
      </c>
    </row>
    <row r="32" spans="2:14" ht="15" customHeight="1">
      <c r="C32" s="201" t="str">
        <f>IF(Índice!$D$2=1,"Administração Regional","Regional Administration")</f>
        <v>Regional Administration</v>
      </c>
      <c r="D32" s="198">
        <v>20</v>
      </c>
      <c r="E32" s="198">
        <v>0</v>
      </c>
      <c r="F32" s="198">
        <v>15.872499999999999</v>
      </c>
      <c r="G32" s="198">
        <v>0</v>
      </c>
      <c r="H32" s="198">
        <v>3048.2001500000001</v>
      </c>
      <c r="I32" s="198">
        <v>490.43813</v>
      </c>
      <c r="J32" s="198">
        <v>696.5862699999999</v>
      </c>
      <c r="K32" s="198">
        <v>0</v>
      </c>
      <c r="L32" s="198">
        <v>70.910339999999991</v>
      </c>
      <c r="M32" s="198">
        <v>20799.307260000005</v>
      </c>
      <c r="N32" s="198">
        <v>25141.314650000008</v>
      </c>
    </row>
    <row r="33" spans="1:169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</row>
    <row r="34" spans="1:169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69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152.53971999999999</v>
      </c>
      <c r="G35" s="200">
        <v>0</v>
      </c>
      <c r="H35" s="200">
        <v>0</v>
      </c>
      <c r="I35" s="200">
        <v>0</v>
      </c>
      <c r="J35" s="200">
        <v>2340</v>
      </c>
      <c r="K35" s="200">
        <v>0</v>
      </c>
      <c r="L35" s="200">
        <v>3874.2947700000004</v>
      </c>
      <c r="M35" s="200">
        <v>0</v>
      </c>
      <c r="N35" s="200">
        <v>6366.8344900000002</v>
      </c>
    </row>
    <row r="36" spans="1:169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8335</v>
      </c>
      <c r="E38" s="204">
        <v>1413.2035700000001</v>
      </c>
      <c r="F38" s="204">
        <v>266186.1317000002</v>
      </c>
      <c r="G38" s="204">
        <v>26202.655499999997</v>
      </c>
      <c r="H38" s="204">
        <v>7176.9981700000008</v>
      </c>
      <c r="I38" s="204">
        <v>275347.10561000009</v>
      </c>
      <c r="J38" s="204">
        <v>135861.63884</v>
      </c>
      <c r="K38" s="204">
        <v>24014.82218000001</v>
      </c>
      <c r="L38" s="204">
        <v>17329.165509999999</v>
      </c>
      <c r="M38" s="204">
        <v>119722.71969</v>
      </c>
      <c r="N38" s="204">
        <v>881589.44077000022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0</v>
      </c>
      <c r="H40" s="208">
        <v>6726.9230800000005</v>
      </c>
      <c r="I40" s="208">
        <v>32500</v>
      </c>
      <c r="J40" s="208">
        <v>0</v>
      </c>
      <c r="K40" s="208">
        <v>0</v>
      </c>
      <c r="L40" s="208">
        <v>0</v>
      </c>
      <c r="M40" s="208">
        <v>608.14400000000001</v>
      </c>
      <c r="N40" s="208">
        <v>39835.067080000001</v>
      </c>
    </row>
    <row r="41" spans="1:169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393394.63079999998</v>
      </c>
      <c r="K41" s="200">
        <v>0</v>
      </c>
      <c r="L41" s="200">
        <v>0</v>
      </c>
      <c r="M41" s="200">
        <v>0</v>
      </c>
      <c r="N41" s="200">
        <v>393394.63079999998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98035.202690000006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5" t="str">
        <f>+IF(Índice!$D$2=1,"Fonte: Secretaria Regional das Finanças","Source: Regional Finance Secretariat")</f>
        <v>Source: Regional Finance Secretariat</v>
      </c>
      <c r="D46" s="335" t="str">
        <f>+IF(Índice!$D$2="PT","Fonte: Vice-Presidência do Governo Regional","Source: Vice-Presidency of the Regional Government")</f>
        <v>Source: Vice-Presidency of the Regional Government</v>
      </c>
      <c r="E46" s="335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J15" sqref="J1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(janeiro-julho)","TABLE IX - RPEs global balance (january-july)")</f>
        <v>TABLE IX - RPEs global balance (january-july)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17888.510480000055</v>
      </c>
      <c r="E5" s="82">
        <v>-14051.113280000049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Source: Regional Finance Secretariat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J15" sqref="J1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(janeiro-julho)","TABLE X - ASFs and RPEs budget execution (january-july)")</f>
        <v>TABLE X - ASFs and RPEs budget execution (january-july)</v>
      </c>
      <c r="D2" s="337"/>
      <c r="E2" s="337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22537.645359999908</v>
      </c>
      <c r="E4" s="98">
        <v>-14051.113280000049</v>
      </c>
      <c r="F4" s="98">
        <v>8486.532079999859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340471.84059000004</v>
      </c>
      <c r="E7" s="74">
        <v>305663.18598000007</v>
      </c>
      <c r="F7" s="74">
        <v>646135.0265700001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24757.698959999907</v>
      </c>
      <c r="E8" s="74">
        <v>-13495.533060000049</v>
      </c>
      <c r="F8" s="74">
        <v>11262.165899999858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21623.233209999918</v>
      </c>
      <c r="E9" s="74">
        <v>-17987.726240000018</v>
      </c>
      <c r="F9" s="74">
        <v>3635.5069699998712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914.41214999999966</v>
      </c>
      <c r="E10" s="74">
        <v>3936.6129599999767</v>
      </c>
      <c r="F10" s="74">
        <v>4851.0251099999732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Source: Regional Finance Secretariat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J15" sqref="J15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(janeiro-julho)","TABLE XI - ASFs and RPEs budget execution (january-july)")</f>
        <v>TABLE XI - ASFs and RPEs budget execution (january-july)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361094.38540999993</v>
      </c>
      <c r="E4" s="108">
        <v>242779.37047000005</v>
      </c>
      <c r="F4" s="108">
        <v>603873.75587999995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5845.9985299999989</v>
      </c>
      <c r="E8" s="74">
        <v>6775.7516699999996</v>
      </c>
      <c r="F8" s="74">
        <v>12621.750199999999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351091.78630999994</v>
      </c>
      <c r="E9" s="74">
        <v>207770.72868000006</v>
      </c>
      <c r="F9" s="74">
        <v>558862.51499000005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32478.473410000002</v>
      </c>
      <c r="E10" s="74">
        <v>1219.6650999999999</v>
      </c>
      <c r="F10" s="74">
        <v>33698.138510000004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317567.32444999996</v>
      </c>
      <c r="E11" s="74">
        <v>206551.06358000005</v>
      </c>
      <c r="F11" s="74">
        <v>524118.38803000003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3304.4215800000006</v>
      </c>
      <c r="E12" s="74">
        <v>14067.034359999998</v>
      </c>
      <c r="F12" s="74">
        <v>17371.45594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852.17899000000011</v>
      </c>
      <c r="E13" s="74">
        <v>14165.85576</v>
      </c>
      <c r="F13" s="74">
        <v>15018.034750000001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4135.1541399999996</v>
      </c>
      <c r="E14" s="83">
        <v>49388.282449999992</v>
      </c>
      <c r="F14" s="83">
        <v>53523.43658999999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1468.9999700000001</v>
      </c>
      <c r="F15" s="34">
        <v>1468.9999700000001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4067.3422099999993</v>
      </c>
      <c r="E16" s="34">
        <v>47857.022309999993</v>
      </c>
      <c r="F16" s="74">
        <v>51924.364519999996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3374.6499599999993</v>
      </c>
      <c r="E17" s="34">
        <v>18727.596890000001</v>
      </c>
      <c r="F17" s="74">
        <v>22102.24685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692.69225000000006</v>
      </c>
      <c r="E18" s="74">
        <v>29129.425419999992</v>
      </c>
      <c r="F18" s="74">
        <v>29822.117669999992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22.069790000000001</v>
      </c>
      <c r="F19" s="74">
        <v>22.069790000000001</v>
      </c>
    </row>
    <row r="20" spans="2:6" ht="11.25" customHeight="1">
      <c r="C20" s="110" t="str">
        <f>+IF(Índice!$D$2=1,"Receita efetiva","Effective revenue")</f>
        <v>Effective revenue</v>
      </c>
      <c r="D20" s="83">
        <v>365229.53954999993</v>
      </c>
      <c r="E20" s="83">
        <v>292167.65292000002</v>
      </c>
      <c r="F20" s="83">
        <v>657397.19246999989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339471.15220000001</v>
      </c>
      <c r="E22" s="83">
        <v>260767.09671000007</v>
      </c>
      <c r="F22" s="83">
        <v>600238.24891000008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36094.925730000024</v>
      </c>
      <c r="E23" s="74">
        <v>171247.85604000004</v>
      </c>
      <c r="F23" s="74">
        <v>207342.78177000006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67140.095249999998</v>
      </c>
      <c r="E24" s="74">
        <v>79091.166399999987</v>
      </c>
      <c r="F24" s="74">
        <v>146231.26165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2220.0536000000002</v>
      </c>
      <c r="E25" s="74">
        <v>555.58022000000005</v>
      </c>
      <c r="F25" s="74">
        <v>2775.63382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213191.29872999998</v>
      </c>
      <c r="E26" s="74">
        <v>8335.4783299999999</v>
      </c>
      <c r="F26" s="74">
        <v>221526.77705999999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1466.2808600000001</v>
      </c>
      <c r="E27" s="74">
        <v>0</v>
      </c>
      <c r="F27" s="59">
        <v>1466.2808600000001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211725.01786999998</v>
      </c>
      <c r="E28" s="74">
        <v>8335.4783299999999</v>
      </c>
      <c r="F28" s="59">
        <v>220060.49619999999</v>
      </c>
    </row>
    <row r="29" spans="2:6" ht="11.25" customHeight="1">
      <c r="C29" s="104" t="str">
        <f>+IF(Índice!$D$2=1,"Subsídios","Subsidies")</f>
        <v>Subsidies</v>
      </c>
      <c r="D29" s="74">
        <v>20634.377269999997</v>
      </c>
      <c r="E29" s="74">
        <v>6.5214400000000001</v>
      </c>
      <c r="F29" s="74">
        <v>20640.898709999998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190.40162000000007</v>
      </c>
      <c r="E30" s="74">
        <v>1530.4942800000003</v>
      </c>
      <c r="F30" s="74">
        <v>1720.8959000000004</v>
      </c>
    </row>
    <row r="31" spans="2:6" ht="11.25" customHeight="1">
      <c r="C31" s="110" t="str">
        <f>+IF(Índice!$D$2=1,"Despesa de capital","Capital expenditure")</f>
        <v>Capital expenditure</v>
      </c>
      <c r="D31" s="83">
        <v>3220.74199</v>
      </c>
      <c r="E31" s="83">
        <v>45451.669490000015</v>
      </c>
      <c r="F31" s="83">
        <v>48672.411480000017</v>
      </c>
    </row>
    <row r="32" spans="2:6" ht="11.25" customHeight="1">
      <c r="C32" s="104" t="str">
        <f>+IF(Índice!$D$2=1,"Investimento","Investment")</f>
        <v>Investment</v>
      </c>
      <c r="D32" s="74">
        <v>1302.24281</v>
      </c>
      <c r="E32" s="74">
        <v>44756.293800000014</v>
      </c>
      <c r="F32" s="74">
        <v>46058.536610000017</v>
      </c>
    </row>
    <row r="33" spans="3:6" ht="11.25" customHeight="1">
      <c r="C33" s="104" t="str">
        <f>+IF(Índice!$D$2=1,"Transferências capital","Capital transfers")</f>
        <v>Capital transfers</v>
      </c>
      <c r="D33" s="74">
        <v>1918.49918</v>
      </c>
      <c r="E33" s="74">
        <v>695.37568999999996</v>
      </c>
      <c r="F33" s="74">
        <v>2613.8748700000001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342691.89419000002</v>
      </c>
      <c r="E36" s="83">
        <v>306218.76620000007</v>
      </c>
      <c r="F36" s="83">
        <v>648910.66039000009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2886.2473300000001</v>
      </c>
      <c r="E38" s="35">
        <v>523.83654000000001</v>
      </c>
      <c r="F38" s="35">
        <v>3410.0838700000004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7210.1026900000006</v>
      </c>
      <c r="F39" s="35">
        <v>7210.1026900000006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22537.645359999908</v>
      </c>
      <c r="E44" s="114">
        <v>-14051.113280000049</v>
      </c>
      <c r="F44" s="114">
        <v>8486.532079999859</v>
      </c>
    </row>
    <row r="45" spans="3:6" ht="15" customHeight="1">
      <c r="C45" s="335" t="str">
        <f>+IF(Índice!$D$2=1,"Fonte: Secretaria Regional das Finanças","Source: Regional Finance Secretariat")</f>
        <v>Source: Regional Finance Secretariat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J15" sqref="J15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(julho)","TABLE XII - ASFs and RPEs budget execution (july)")</f>
        <v>TABLE XII - ASFs and RPEs budget execution (july)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+IF(Índice!$D$2=1,"julho 2025","july 2025")</f>
        <v>july 2025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48935.068909999893</v>
      </c>
      <c r="E5" s="317">
        <v>34978.749249999993</v>
      </c>
      <c r="F5" s="317">
        <v>83913.818159999879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48935.068909999893</v>
      </c>
      <c r="E9" s="74">
        <v>34978.749249999993</v>
      </c>
      <c r="F9" s="74">
        <v>83913.818159999879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47361.754739999888</v>
      </c>
      <c r="E10" s="74">
        <v>28065.272780000003</v>
      </c>
      <c r="F10" s="74">
        <v>75427.027519999887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76.576720000000122</v>
      </c>
      <c r="E11" s="83">
        <v>13393.745139999994</v>
      </c>
      <c r="F11" s="83">
        <v>13470.321859999995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55.355040000000038</v>
      </c>
      <c r="F12" s="34">
        <v>55.355040000000038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70.508890000000136</v>
      </c>
      <c r="E13" s="34">
        <v>13335.683029999993</v>
      </c>
      <c r="F13" s="74">
        <v>13406.191919999994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49011.64562999989</v>
      </c>
      <c r="E15" s="83">
        <v>48372.494389999985</v>
      </c>
      <c r="F15" s="83">
        <v>97384.140019999875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44722.223090000087</v>
      </c>
      <c r="E17" s="83">
        <v>41694.654390000207</v>
      </c>
      <c r="F17" s="83">
        <v>86416.877480000287</v>
      </c>
    </row>
    <row r="18" spans="3:6" ht="11.25" customHeight="1">
      <c r="C18" s="104" t="str">
        <f>+IF(Índice!$D$2=1,"Consumo público","Public consumption")</f>
        <v>Public consumption</v>
      </c>
      <c r="D18" s="74">
        <v>10356.024460000051</v>
      </c>
      <c r="E18" s="74">
        <v>40357.423950000208</v>
      </c>
      <c r="F18" s="74">
        <v>50713.448410000259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4629.8364200000424</v>
      </c>
      <c r="E19" s="74">
        <v>25033.344330000222</v>
      </c>
      <c r="F19" s="74">
        <v>29663.180750000265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5726.1880400000091</v>
      </c>
      <c r="E20" s="74">
        <v>15324.079619999988</v>
      </c>
      <c r="F20" s="74">
        <v>21050.267659999998</v>
      </c>
    </row>
    <row r="21" spans="3:6" ht="11.25" customHeight="1">
      <c r="C21" s="104" t="str">
        <f>+IF(Índice!$D$2=1,"Subsídios","Subsidies")</f>
        <v>Subsidies</v>
      </c>
      <c r="D21" s="74">
        <v>4007.4704799999968</v>
      </c>
      <c r="E21" s="74">
        <v>0</v>
      </c>
      <c r="F21" s="74">
        <v>4007.4704799999968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9.3190000000409778E-2</v>
      </c>
      <c r="E22" s="74">
        <v>87.062899999999971</v>
      </c>
      <c r="F22" s="59">
        <v>87.156090000000376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30358.634960000039</v>
      </c>
      <c r="E23" s="74">
        <v>1250.167539999999</v>
      </c>
      <c r="F23" s="59">
        <v>31608.802500000038</v>
      </c>
    </row>
    <row r="24" spans="3:6" ht="11.25" customHeight="1">
      <c r="C24" s="110" t="str">
        <f>+IF(Índice!$D$2=1,"Despesa de capital","Capital expenditure")</f>
        <v>Capital expenditure</v>
      </c>
      <c r="D24" s="83">
        <v>586.50931000000026</v>
      </c>
      <c r="E24" s="83">
        <v>14232.312150000016</v>
      </c>
      <c r="F24" s="83">
        <v>14818.821460000016</v>
      </c>
    </row>
    <row r="25" spans="3:6" ht="11.25" customHeight="1">
      <c r="C25" s="104" t="str">
        <f>+IF(Índice!$D$2=1,"Investimento","Investment")</f>
        <v>Investment</v>
      </c>
      <c r="D25" s="74">
        <v>607.38263000000029</v>
      </c>
      <c r="E25" s="74">
        <v>14110.709140000015</v>
      </c>
      <c r="F25" s="74">
        <v>14718.091770000015</v>
      </c>
    </row>
    <row r="26" spans="3:6" ht="11.25" customHeight="1">
      <c r="C26" s="104" t="str">
        <f>+IF(Índice!$D$2=1,"Transferências capital","Capital transfers")</f>
        <v>Capital transfers</v>
      </c>
      <c r="D26" s="74">
        <v>-20.873320000000064</v>
      </c>
      <c r="E26" s="74">
        <v>121.60301000000001</v>
      </c>
      <c r="F26" s="74">
        <v>100.72968999999995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45308.732400000088</v>
      </c>
      <c r="E29" s="83">
        <v>55926.966540000227</v>
      </c>
      <c r="F29" s="83">
        <v>101235.69894000032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3702.9132299998018</v>
      </c>
      <c r="E31" s="319">
        <v>-7554.4721500002415</v>
      </c>
      <c r="F31" s="319">
        <v>-3851.5589200004397</v>
      </c>
    </row>
    <row r="32" spans="3:6" ht="15" customHeight="1">
      <c r="C32" s="335" t="str">
        <f>+IF(Índice!$D$2=1,"Fonte: Secretaria Regional das Finanças","Source: Regional Finance Secretariat")</f>
        <v>Source: Regional Finance Secretariat</v>
      </c>
      <c r="D32" s="335"/>
      <c r="E32" s="335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12" zoomScale="120" zoomScaleNormal="120" zoomScaleSheetLayoutView="100" zoomScalePageLayoutView="150" workbookViewId="0">
      <selection activeCell="J15" sqref="J15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julho de 2025 (valores acumulados)","Table XIII- Accounts payable of the Regional Administration, july (accumulated)")</f>
        <v>Table XIII- Accounts payable of the Regional Administration, july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8" t="s">
        <v>7</v>
      </c>
      <c r="D3" s="339" t="str">
        <f>+IF(Índice!$D$2=1,"julho 2025","july 2025")</f>
        <v>july 2025</v>
      </c>
      <c r="E3" s="339" t="str">
        <f>+IF(Índice!$D$2="PT","janeiro 2020","January")</f>
        <v>January</v>
      </c>
      <c r="F3" s="339" t="str">
        <f>+IF(Índice!$D$2="PT","janeiro 2020","January")</f>
        <v>January</v>
      </c>
      <c r="G3" s="340" t="str">
        <f>+IF(Índice!$D$2=1,"Variação face ao stock inicial de janeiro","Change from period initial stock")</f>
        <v>Change from period initial stock</v>
      </c>
      <c r="H3" s="341"/>
      <c r="I3" s="341"/>
    </row>
    <row r="4" spans="2:11" ht="12.75" customHeight="1">
      <c r="C4" s="338"/>
      <c r="D4" s="342" t="str">
        <f>+IF(Índice!$D$2=1,"Stock final do período","Accumulated")</f>
        <v>Accumulated</v>
      </c>
      <c r="E4" s="342"/>
      <c r="F4" s="342"/>
      <c r="G4" s="343" t="str">
        <f>+IF(Índice!$D$2=1,"Passivo","Liabilities")</f>
        <v>Liabilities</v>
      </c>
      <c r="H4" s="343" t="str">
        <f>+IF(Índice!$D$2=1,"Contas a pagar","Accounts payable")</f>
        <v>Accounts payable</v>
      </c>
      <c r="I4" s="345" t="str">
        <f>+IF(Índice!$D$2=1,"Pagamentos em atraso","Late payments")</f>
        <v>Late payments</v>
      </c>
    </row>
    <row r="5" spans="2:11" ht="22.5">
      <c r="B5" s="29"/>
      <c r="C5" s="338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4"/>
      <c r="H5" s="344"/>
      <c r="I5" s="346"/>
    </row>
    <row r="6" spans="2:11">
      <c r="B6" s="29"/>
      <c r="C6" s="119" t="str">
        <f>+IF(Índice!$D$2=1,"Despesa corrente","Current expenditure")</f>
        <v>Current expenditure</v>
      </c>
      <c r="D6" s="162">
        <v>156146425.20000017</v>
      </c>
      <c r="E6" s="162">
        <v>142961286.87000015</v>
      </c>
      <c r="F6" s="162">
        <v>22565733.900000002</v>
      </c>
      <c r="G6" s="91">
        <v>0.45965850964020416</v>
      </c>
      <c r="H6" s="91">
        <v>0.48287916906735107</v>
      </c>
      <c r="I6" s="116">
        <v>-0.45242104896731838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9251667.1999999993</v>
      </c>
      <c r="E7" s="165">
        <v>8524900.0500000007</v>
      </c>
      <c r="F7" s="165">
        <v>130553.05</v>
      </c>
      <c r="G7" s="95">
        <v>3.2896586496328135</v>
      </c>
      <c r="H7" s="95">
        <v>9.2495899394568575</v>
      </c>
      <c r="I7" s="121">
        <v>242.00694289330653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118952505.71000016</v>
      </c>
      <c r="E8" s="165">
        <v>117399930.70000014</v>
      </c>
      <c r="F8" s="165">
        <v>20849931.350000005</v>
      </c>
      <c r="G8" s="95">
        <v>0.32338355319899215</v>
      </c>
      <c r="H8" s="95">
        <v>0.30824069479380611</v>
      </c>
      <c r="I8" s="121">
        <v>-0.4740360673495001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7307368.629999999</v>
      </c>
      <c r="E9" s="165">
        <v>3798176.0599999996</v>
      </c>
      <c r="F9" s="165">
        <v>1485372.19</v>
      </c>
      <c r="G9" s="95">
        <v>-0.17866000606834787</v>
      </c>
      <c r="H9" s="95">
        <v>4.9912308743413236E-2</v>
      </c>
      <c r="I9" s="121">
        <v>1.3085301534765392E-4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20509442.370000005</v>
      </c>
      <c r="E10" s="165">
        <v>13118856.400000002</v>
      </c>
      <c r="F10" s="165">
        <v>99826.31</v>
      </c>
      <c r="G10" s="95">
        <v>3.4019869718633986</v>
      </c>
      <c r="H10" s="95">
        <v>14.440232880664785</v>
      </c>
      <c r="I10" s="121">
        <v>0.20457397857509418</v>
      </c>
    </row>
    <row r="11" spans="2:11">
      <c r="B11" s="29"/>
      <c r="C11" s="120" t="str">
        <f>+IF(Índice!$D$2=1,"Subsídios","Subsidies")</f>
        <v>Subsidies</v>
      </c>
      <c r="D11" s="165">
        <v>4834.6200000000008</v>
      </c>
      <c r="E11" s="165">
        <v>4834.6200000000008</v>
      </c>
      <c r="F11" s="165">
        <v>0</v>
      </c>
      <c r="G11" s="95">
        <v>-0.99646663304673566</v>
      </c>
      <c r="H11" s="95">
        <v>-0.99646663304673566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120606.67</v>
      </c>
      <c r="E12" s="165">
        <v>114589.04</v>
      </c>
      <c r="F12" s="165">
        <v>51</v>
      </c>
      <c r="G12" s="95">
        <v>13.251441312950723</v>
      </c>
      <c r="H12" s="95">
        <v>60.76540914064563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39099759.049999997</v>
      </c>
      <c r="E13" s="163">
        <v>24055907.530000001</v>
      </c>
      <c r="F13" s="163">
        <v>343915.3</v>
      </c>
      <c r="G13" s="92">
        <v>-3.1574209837804235E-2</v>
      </c>
      <c r="H13" s="92">
        <v>-5.5688571868666825E-2</v>
      </c>
      <c r="I13" s="117">
        <v>1.4208776378578851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20642722.539999999</v>
      </c>
      <c r="E14" s="165">
        <v>11457037.390000001</v>
      </c>
      <c r="F14" s="165">
        <v>343915.3</v>
      </c>
      <c r="G14" s="95">
        <v>-0.11496697316367288</v>
      </c>
      <c r="H14" s="95">
        <v>-0.20457904555055317</v>
      </c>
      <c r="I14" s="121">
        <v>1.4208776378578851</v>
      </c>
    </row>
    <row r="15" spans="2:11">
      <c r="B15" s="29"/>
      <c r="C15" s="120" t="str">
        <f>+IF(Índice!$D$2=1,"Transferências capital","Capital transfers")</f>
        <v>Capital transfers</v>
      </c>
      <c r="D15" s="165">
        <v>18457036.509999998</v>
      </c>
      <c r="E15" s="165">
        <v>12598870.140000001</v>
      </c>
      <c r="F15" s="165">
        <v>0</v>
      </c>
      <c r="G15" s="95">
        <v>8.2504206613172038E-2</v>
      </c>
      <c r="H15" s="95">
        <v>0.13802627302408776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195246184.25000018</v>
      </c>
      <c r="E17" s="164">
        <v>167017194.40000015</v>
      </c>
      <c r="F17" s="164">
        <v>22909649.200000003</v>
      </c>
      <c r="G17" s="147">
        <v>0.32505781721308336</v>
      </c>
      <c r="H17" s="147">
        <v>0.37031358816965443</v>
      </c>
      <c r="I17" s="148">
        <v>-0.44598545831946612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144125480.07000017</v>
      </c>
      <c r="E19" s="164">
        <v>115908974.16000015</v>
      </c>
      <c r="F19" s="164">
        <v>4744448.2699999986</v>
      </c>
      <c r="G19" s="147">
        <v>0.59971975154390766</v>
      </c>
      <c r="H19" s="147">
        <v>0.79314706896389198</v>
      </c>
      <c r="I19" s="148">
        <v>-0.18164311681429646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julho de 2025 (valores acumulados)","Table XIV - Accounts payable of the Regional Gov., july (accumulated)")</f>
        <v>Table XIV - Accounts payable of the Regional Gov., july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8" t="str">
        <f>+IF(Índice!$D$2=1,"Governo Regional","Regional Government")</f>
        <v>Regional Government</v>
      </c>
      <c r="D24" s="339" t="str">
        <f>+IF(Índice!$D$2=1,"julho 2025","july 2025")</f>
        <v>july 2025</v>
      </c>
      <c r="E24" s="339" t="str">
        <f>+IF(Índice!$D$2="PT","janeiro 2020","January")</f>
        <v>January</v>
      </c>
      <c r="F24" s="339" t="str">
        <f>+IF(Índice!$D$2="PT","janeiro 2020","January")</f>
        <v>January</v>
      </c>
      <c r="G24" s="340" t="str">
        <f>+IF(Índice!$D$2=1,"Variação face ao stock inicial de janeiro","Change from january initial stock")</f>
        <v>Change from january initial stock</v>
      </c>
      <c r="H24" s="341"/>
      <c r="I24" s="341"/>
    </row>
    <row r="25" spans="2:9" ht="22.5" customHeight="1">
      <c r="B25" s="29"/>
      <c r="C25" s="338"/>
      <c r="D25" s="342" t="str">
        <f>+IF(Índice!$D$2=1,"Stock final do período","Accumulated")</f>
        <v>Accumulated</v>
      </c>
      <c r="E25" s="342"/>
      <c r="F25" s="342"/>
      <c r="G25" s="343" t="str">
        <f>+IF(Índice!$D$2=1,"Passivo","Liabilities")</f>
        <v>Liabilities</v>
      </c>
      <c r="H25" s="343" t="str">
        <f>+IF(Índice!$D$2=1,"Contas a pagar","Accounts payable")</f>
        <v>Accounts payable</v>
      </c>
      <c r="I25" s="345" t="str">
        <f>+IF(Índice!$D$2=1,"Pagamentos em atraso","Late payments")</f>
        <v>Late payments</v>
      </c>
    </row>
    <row r="26" spans="2:9" ht="22.5">
      <c r="B26" s="29"/>
      <c r="C26" s="338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4"/>
      <c r="H26" s="344"/>
      <c r="I26" s="346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60535504.770000003</v>
      </c>
      <c r="E27" s="162">
        <v>51045235.739999995</v>
      </c>
      <c r="F27" s="162">
        <v>1191379.8299999998</v>
      </c>
      <c r="G27" s="91">
        <v>5.8437573502511153</v>
      </c>
      <c r="H27" s="91">
        <v>11.581365124088991</v>
      </c>
      <c r="I27" s="116">
        <v>0.13587335657632305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25993441.339999996</v>
      </c>
      <c r="E28" s="163">
        <v>19666724.82</v>
      </c>
      <c r="F28" s="163">
        <v>78843.649999999994</v>
      </c>
      <c r="G28" s="92">
        <v>-4.592430304531403E-2</v>
      </c>
      <c r="H28" s="172">
        <v>-6.623554756434713E-2</v>
      </c>
      <c r="I28" s="117">
        <v>124.14865079365079</v>
      </c>
    </row>
    <row r="29" spans="2:9" ht="20.100000000000001" customHeight="1">
      <c r="B29" s="29"/>
      <c r="C29" s="146" t="s">
        <v>7</v>
      </c>
      <c r="D29" s="164">
        <v>86528946.109999999</v>
      </c>
      <c r="E29" s="164">
        <v>70711960.560000002</v>
      </c>
      <c r="F29" s="164">
        <v>1270223.4799999997</v>
      </c>
      <c r="G29" s="147">
        <v>1.3975883224565222</v>
      </c>
      <c r="H29" s="147">
        <v>1.8150818084042757</v>
      </c>
      <c r="I29" s="148">
        <v>0.21031670054290186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julho de 2025 (valores acumulados)","Table XV - Accounts payable of the ASFs, july (accumulated)")</f>
        <v>Table XV - Accounts payable of the ASFs, july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7" t="str">
        <f>+IF(Índice!$D$2=1,"Serviços e Fundos Autónomos","Autonomous Services and Funds")</f>
        <v>Autonomous Services and Funds</v>
      </c>
      <c r="D33" s="339" t="str">
        <f>+IF(Índice!$D$2=1,"julho 2025","july 2025")</f>
        <v>july 2025</v>
      </c>
      <c r="E33" s="339" t="str">
        <f>+IF(Índice!$D$2="PT","janeiro 2020","January")</f>
        <v>January</v>
      </c>
      <c r="F33" s="339" t="str">
        <f>+IF(Índice!$D$2="PT","janeiro 2020","January")</f>
        <v>January</v>
      </c>
      <c r="G33" s="340" t="str">
        <f>+IF(Índice!$D$2=1,"Variação face ao stock inicial de janeiro","Change from january initial stock")</f>
        <v>Change from january initial stock</v>
      </c>
      <c r="H33" s="341"/>
      <c r="I33" s="341"/>
    </row>
    <row r="34" spans="2:9" ht="12.75" customHeight="1">
      <c r="C34" s="348"/>
      <c r="D34" s="350" t="str">
        <f>+IF(Índice!$D$2=1,"Stock final do período","Accumulated")</f>
        <v>Accumulated</v>
      </c>
      <c r="E34" s="351"/>
      <c r="F34" s="352"/>
      <c r="G34" s="353" t="str">
        <f>+IF(Índice!$D$2=1,"Passivo","Liabilities")</f>
        <v>Liabilities</v>
      </c>
      <c r="H34" s="353" t="str">
        <f>+IF(Índice!$D$2=1,"Contas a pagar","Accounts payable")</f>
        <v>Accounts payable</v>
      </c>
      <c r="I34" s="345" t="str">
        <f>+IF(Índice!$D$2=1,"Pagamentos em atraso","Late payments")</f>
        <v>Late payments</v>
      </c>
    </row>
    <row r="35" spans="2:9" ht="22.5">
      <c r="C35" s="349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4"/>
      <c r="H35" s="344"/>
      <c r="I35" s="346"/>
    </row>
    <row r="36" spans="2:9" ht="20.100000000000001" customHeight="1">
      <c r="C36" s="115" t="str">
        <f>+IF(Índice!$D$2=1,"Despesa corrente","Current expenditure")</f>
        <v>Current expenditure</v>
      </c>
      <c r="D36" s="162">
        <v>45075855.280000158</v>
      </c>
      <c r="E36" s="162">
        <v>43903058.64000015</v>
      </c>
      <c r="F36" s="162">
        <v>3471289.57</v>
      </c>
      <c r="G36" s="91">
        <v>0.1511623296238116</v>
      </c>
      <c r="H36" s="91">
        <v>0.1660872066322745</v>
      </c>
      <c r="I36" s="116">
        <v>-0.27354813671014244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250836.57</v>
      </c>
      <c r="E37" s="163">
        <v>250836.57</v>
      </c>
      <c r="F37" s="163">
        <v>2935.22</v>
      </c>
      <c r="G37" s="92">
        <v>0.69597008225675561</v>
      </c>
      <c r="H37" s="92">
        <v>0.69597008225675561</v>
      </c>
      <c r="I37" s="117">
        <v>0</v>
      </c>
    </row>
    <row r="38" spans="2:9" ht="20.100000000000001" customHeight="1">
      <c r="C38" s="146" t="s">
        <v>7</v>
      </c>
      <c r="D38" s="164">
        <v>45326691.850000158</v>
      </c>
      <c r="E38" s="164">
        <v>44153895.21000015</v>
      </c>
      <c r="F38" s="164">
        <v>3474224.79</v>
      </c>
      <c r="G38" s="147">
        <v>0.15321241161271026</v>
      </c>
      <c r="H38" s="147">
        <v>0.16816062093739537</v>
      </c>
      <c r="I38" s="148">
        <v>-0.27293387045687623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julho de 2025 (valores acumulados)","Table XVI - Accounts payable of the RPEs, july (accumulated)")</f>
        <v>Table XVI - Accounts payable of the RPEs, july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7" t="str">
        <f>+IF(Índice!$D$2=1,"Entidades Públicas Reclassseicadas","Reclassseied Public Entities")</f>
        <v>Reclassseied Public Entities</v>
      </c>
      <c r="D42" s="339" t="str">
        <f>+IF(Índice!$D$2=1,"julho 2025","july 2025")</f>
        <v>july 2025</v>
      </c>
      <c r="E42" s="339" t="str">
        <f>+IF(Índice!$D$2="PT","janeiro 2020","January")</f>
        <v>January</v>
      </c>
      <c r="F42" s="339" t="str">
        <f>+IF(Índice!$D$2="PT","janeiro 2020","January")</f>
        <v>January</v>
      </c>
      <c r="G42" s="340" t="str">
        <f>+IF(Índice!$D$2=1,"Variação face ao stock inicial de janeiro","Change from january initial stock")</f>
        <v>Change from january initial stock</v>
      </c>
      <c r="H42" s="341"/>
      <c r="I42" s="341"/>
    </row>
    <row r="43" spans="2:9" ht="12.75" customHeight="1">
      <c r="C43" s="348"/>
      <c r="D43" s="350" t="str">
        <f>+IF(Índice!$D$2=1,"Stock final do período","Accumulated")</f>
        <v>Accumulated</v>
      </c>
      <c r="E43" s="351"/>
      <c r="F43" s="352"/>
      <c r="G43" s="343" t="str">
        <f>+IF(Índice!$D$2=1,"Passivo","Liabilities")</f>
        <v>Liabilities</v>
      </c>
      <c r="H43" s="343" t="str">
        <f>+IF(Índice!$D$2=1,"Contas a pagar","Accounts payable")</f>
        <v>Accounts payable</v>
      </c>
      <c r="I43" s="345" t="str">
        <f>+IF(Índice!$D$2=1,"Pagamentos em atraso","Late payments")</f>
        <v>Late payments</v>
      </c>
    </row>
    <row r="44" spans="2:9" ht="22.5">
      <c r="C44" s="349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4"/>
      <c r="H44" s="344"/>
      <c r="I44" s="346"/>
    </row>
    <row r="45" spans="2:9" ht="20.100000000000001" customHeight="1">
      <c r="C45" s="115" t="str">
        <f>+IF(Índice!$D$2=1,"Despesa corrente","Current expenditure")</f>
        <v>Current expenditure</v>
      </c>
      <c r="D45" s="162">
        <v>50535065.150000013</v>
      </c>
      <c r="E45" s="162">
        <v>48012992.49000001</v>
      </c>
      <c r="F45" s="162">
        <v>17903064.500000004</v>
      </c>
      <c r="G45" s="91">
        <v>-0.14307328842152534</v>
      </c>
      <c r="H45" s="91">
        <v>-0.12226177884886735</v>
      </c>
      <c r="I45" s="116">
        <v>-0.49401681848064583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12855481.140000001</v>
      </c>
      <c r="E46" s="163">
        <v>4138346.1400000006</v>
      </c>
      <c r="F46" s="163">
        <v>262136.43</v>
      </c>
      <c r="G46" s="92">
        <v>-9.7472449832686214E-3</v>
      </c>
      <c r="H46" s="92">
        <v>-2.9669950754382168E-2</v>
      </c>
      <c r="I46" s="117">
        <v>0.85344183193308654</v>
      </c>
    </row>
    <row r="47" spans="2:9" ht="20.100000000000001" customHeight="1">
      <c r="C47" s="146" t="s">
        <v>7</v>
      </c>
      <c r="D47" s="164">
        <v>63390546.290000014</v>
      </c>
      <c r="E47" s="164">
        <v>52151338.63000001</v>
      </c>
      <c r="F47" s="164">
        <v>18165200.930000003</v>
      </c>
      <c r="G47" s="147">
        <v>-0.11901861273112047</v>
      </c>
      <c r="H47" s="147">
        <v>-0.1155647747945574</v>
      </c>
      <c r="I47" s="148">
        <v>-0.48865218488303053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6"/>
  <sheetViews>
    <sheetView showGridLines="0" topLeftCell="A29" zoomScale="85" zoomScaleNormal="85" workbookViewId="0">
      <selection activeCell="C36" sqref="C36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3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1" t="s">
        <v>16</v>
      </c>
      <c r="D7" s="170"/>
      <c r="E7" s="169"/>
    </row>
    <row r="8" spans="2:5">
      <c r="B8" s="195"/>
      <c r="C8" s="170" t="s">
        <v>17</v>
      </c>
      <c r="D8" s="171"/>
      <c r="E8" s="169"/>
    </row>
    <row r="9" spans="2:5">
      <c r="B9" s="195"/>
      <c r="C9" s="170" t="s">
        <v>55</v>
      </c>
      <c r="D9" s="170"/>
      <c r="E9" s="169"/>
    </row>
    <row r="10" spans="2:5">
      <c r="B10" s="195"/>
      <c r="C10" s="170" t="s">
        <v>67</v>
      </c>
      <c r="D10" s="170"/>
      <c r="E10" s="169"/>
    </row>
    <row r="11" spans="2:5">
      <c r="B11" s="195"/>
      <c r="C11" s="170" t="s">
        <v>56</v>
      </c>
      <c r="D11" s="170"/>
      <c r="E11" s="169"/>
    </row>
    <row r="12" spans="2:5">
      <c r="B12" s="195"/>
      <c r="C12" s="170" t="s">
        <v>57</v>
      </c>
      <c r="D12" s="170"/>
      <c r="E12" s="169"/>
    </row>
    <row r="13" spans="2:5">
      <c r="B13" s="195"/>
      <c r="C13" s="170" t="s">
        <v>58</v>
      </c>
      <c r="D13" s="170"/>
      <c r="E13" s="169"/>
    </row>
    <row r="14" spans="2:5">
      <c r="B14" s="195"/>
      <c r="C14" s="170" t="s">
        <v>18</v>
      </c>
      <c r="D14" s="170"/>
      <c r="E14" s="169"/>
    </row>
    <row r="15" spans="2:5">
      <c r="B15" s="195"/>
      <c r="C15" s="170" t="s">
        <v>45</v>
      </c>
      <c r="D15" s="170"/>
      <c r="E15" s="169"/>
    </row>
    <row r="16" spans="2:5">
      <c r="B16" s="195"/>
      <c r="C16" s="170" t="s">
        <v>59</v>
      </c>
      <c r="D16" s="170"/>
      <c r="E16" s="169"/>
    </row>
    <row r="17" spans="2:5">
      <c r="B17" s="195"/>
      <c r="C17" s="170" t="s">
        <v>73</v>
      </c>
      <c r="D17" s="171"/>
      <c r="E17" s="169"/>
    </row>
    <row r="18" spans="2:5">
      <c r="B18" s="195"/>
      <c r="C18" s="170" t="s">
        <v>70</v>
      </c>
      <c r="D18" s="170"/>
      <c r="E18" s="169"/>
    </row>
    <row r="19" spans="2:5">
      <c r="B19" s="195"/>
      <c r="C19" s="170" t="s">
        <v>19</v>
      </c>
      <c r="D19" s="170"/>
      <c r="E19" s="169"/>
    </row>
    <row r="20" spans="2:5">
      <c r="B20" s="195"/>
      <c r="C20" s="170" t="s">
        <v>74</v>
      </c>
      <c r="D20" s="170"/>
      <c r="E20" s="169"/>
    </row>
    <row r="21" spans="2:5">
      <c r="B21" s="195"/>
      <c r="C21" s="170" t="s">
        <v>46</v>
      </c>
      <c r="D21" s="170"/>
      <c r="E21" s="169"/>
    </row>
    <row r="22" spans="2:5">
      <c r="B22" s="195"/>
      <c r="C22" s="170" t="s">
        <v>60</v>
      </c>
      <c r="D22" s="170"/>
      <c r="E22" s="169"/>
    </row>
    <row r="23" spans="2:5">
      <c r="B23" s="195"/>
      <c r="C23" s="170" t="s">
        <v>61</v>
      </c>
      <c r="D23" s="170"/>
      <c r="E23" s="169"/>
    </row>
    <row r="24" spans="2:5">
      <c r="B24" s="195"/>
      <c r="C24" s="170" t="s">
        <v>75</v>
      </c>
      <c r="D24" s="170"/>
      <c r="E24" s="169"/>
    </row>
    <row r="25" spans="2:5">
      <c r="B25" s="195"/>
      <c r="C25" s="170" t="s">
        <v>62</v>
      </c>
      <c r="D25" s="170"/>
      <c r="E25" s="169"/>
    </row>
    <row r="26" spans="2:5">
      <c r="B26" s="195"/>
      <c r="C26" s="170" t="s">
        <v>63</v>
      </c>
      <c r="D26" s="170"/>
      <c r="E26" s="169"/>
    </row>
    <row r="27" spans="2:5">
      <c r="B27" s="195"/>
      <c r="C27" s="170" t="s">
        <v>47</v>
      </c>
      <c r="D27" s="170"/>
      <c r="E27" s="169"/>
    </row>
    <row r="28" spans="2:5">
      <c r="B28" s="195"/>
      <c r="C28" s="170" t="s">
        <v>71</v>
      </c>
      <c r="D28" s="170"/>
      <c r="E28" s="169"/>
    </row>
    <row r="29" spans="2:5">
      <c r="B29" s="55"/>
      <c r="C29" s="170" t="s">
        <v>48</v>
      </c>
      <c r="D29" s="170"/>
      <c r="E29" s="169"/>
    </row>
    <row r="30" spans="2:5">
      <c r="B30" s="55"/>
      <c r="C30" s="170" t="s">
        <v>64</v>
      </c>
      <c r="D30" s="170"/>
      <c r="E30" s="169"/>
    </row>
    <row r="31" spans="2:5">
      <c r="B31" s="55"/>
      <c r="C31" s="170" t="s">
        <v>80</v>
      </c>
      <c r="D31" s="170"/>
      <c r="E31" s="169"/>
    </row>
    <row r="32" spans="2:5">
      <c r="B32" s="55"/>
      <c r="C32" s="170" t="s">
        <v>65</v>
      </c>
      <c r="D32" s="170"/>
      <c r="E32" s="169"/>
    </row>
    <row r="33" spans="2:5">
      <c r="B33" s="55"/>
      <c r="C33" s="170" t="s">
        <v>49</v>
      </c>
      <c r="D33" s="170"/>
      <c r="E33" s="169"/>
    </row>
    <row r="34" spans="2:5">
      <c r="B34" s="55"/>
      <c r="C34" s="170" t="s">
        <v>66</v>
      </c>
      <c r="D34" s="170"/>
      <c r="E34" s="169"/>
    </row>
    <row r="35" spans="2:5">
      <c r="B35" s="55"/>
      <c r="C35" s="170" t="s">
        <v>50</v>
      </c>
      <c r="D35" s="170"/>
      <c r="E35" s="169"/>
    </row>
    <row r="36" spans="2:5">
      <c r="B36" s="55"/>
      <c r="C36" s="171" t="s">
        <v>102</v>
      </c>
      <c r="D36" s="170"/>
      <c r="E36" s="169"/>
    </row>
    <row r="37" spans="2:5">
      <c r="B37" s="55"/>
      <c r="C37" s="170" t="s">
        <v>86</v>
      </c>
      <c r="D37" s="170"/>
      <c r="E37" s="169"/>
    </row>
    <row r="38" spans="2:5">
      <c r="B38" s="55"/>
      <c r="C38" s="170" t="s">
        <v>44</v>
      </c>
      <c r="D38" s="170"/>
      <c r="E38" s="169"/>
    </row>
    <row r="39" spans="2:5">
      <c r="B39" s="55"/>
      <c r="C39" s="171" t="s">
        <v>87</v>
      </c>
      <c r="D39" s="170"/>
      <c r="E39" s="169"/>
    </row>
    <row r="40" spans="2:5">
      <c r="B40" s="55"/>
      <c r="C40" s="170" t="s">
        <v>88</v>
      </c>
      <c r="D40" s="170"/>
      <c r="E40" s="169"/>
    </row>
    <row r="41" spans="2:5">
      <c r="B41" s="55"/>
      <c r="C41" s="170" t="s">
        <v>21</v>
      </c>
      <c r="D41" s="170"/>
      <c r="E41" s="169"/>
    </row>
    <row r="42" spans="2:5">
      <c r="B42" s="55"/>
      <c r="C42" s="170" t="s">
        <v>76</v>
      </c>
      <c r="D42" s="170"/>
      <c r="E42" s="169"/>
    </row>
    <row r="43" spans="2:5">
      <c r="B43" s="55"/>
      <c r="C43" s="170" t="s">
        <v>89</v>
      </c>
      <c r="D43" s="171"/>
      <c r="E43" s="169"/>
    </row>
    <row r="44" spans="2:5">
      <c r="B44" s="55"/>
      <c r="C44" s="171" t="s">
        <v>26</v>
      </c>
      <c r="D44" s="170"/>
      <c r="E44" s="169"/>
    </row>
    <row r="45" spans="2:5">
      <c r="B45" s="55"/>
      <c r="C45" s="170" t="s">
        <v>88</v>
      </c>
      <c r="D45" s="171"/>
      <c r="E45" s="169"/>
    </row>
    <row r="46" spans="2:5">
      <c r="B46" s="55"/>
      <c r="C46" s="170" t="s">
        <v>72</v>
      </c>
      <c r="D46" s="170"/>
      <c r="E46" s="169"/>
    </row>
    <row r="47" spans="2:5">
      <c r="B47" s="55"/>
      <c r="C47" s="170" t="s">
        <v>27</v>
      </c>
      <c r="D47" s="170"/>
      <c r="E47" s="169"/>
    </row>
    <row r="48" spans="2:5">
      <c r="B48" s="55"/>
      <c r="C48" s="171" t="s">
        <v>22</v>
      </c>
      <c r="D48" s="170"/>
      <c r="E48" s="169"/>
    </row>
    <row r="49" spans="2:5">
      <c r="B49" s="55"/>
      <c r="C49" s="170" t="s">
        <v>51</v>
      </c>
      <c r="D49" s="170"/>
      <c r="E49" s="169"/>
    </row>
    <row r="50" spans="2:5">
      <c r="B50" s="55"/>
      <c r="C50" s="170" t="s">
        <v>52</v>
      </c>
      <c r="D50" s="171"/>
      <c r="E50" s="169"/>
    </row>
    <row r="51" spans="2:5">
      <c r="B51" s="55"/>
      <c r="C51" s="170" t="s">
        <v>42</v>
      </c>
      <c r="D51" s="170"/>
      <c r="E51" s="169"/>
    </row>
    <row r="52" spans="2:5">
      <c r="B52" s="55"/>
      <c r="C52" s="170" t="s">
        <v>23</v>
      </c>
      <c r="D52" s="170"/>
      <c r="E52" s="169"/>
    </row>
    <row r="53" spans="2:5">
      <c r="B53" s="55"/>
      <c r="C53" s="170" t="s">
        <v>53</v>
      </c>
      <c r="D53" s="170"/>
      <c r="E53" s="169"/>
    </row>
    <row r="54" spans="2:5">
      <c r="B54" s="55"/>
      <c r="C54" s="170" t="s">
        <v>24</v>
      </c>
      <c r="D54" s="171"/>
      <c r="E54" s="169"/>
    </row>
    <row r="55" spans="2:5">
      <c r="B55" s="55"/>
      <c r="C55" s="170" t="s">
        <v>25</v>
      </c>
    </row>
    <row r="56" spans="2:5">
      <c r="B56" s="55"/>
      <c r="C56" s="170" t="s">
        <v>43</v>
      </c>
    </row>
    <row r="57" spans="2:5">
      <c r="B57" s="55"/>
      <c r="C57" s="170" t="s">
        <v>90</v>
      </c>
    </row>
    <row r="58" spans="2:5">
      <c r="B58" s="55"/>
      <c r="C58" s="171" t="s">
        <v>91</v>
      </c>
    </row>
    <row r="59" spans="2:5">
      <c r="B59" s="55"/>
      <c r="C59" s="170" t="s">
        <v>81</v>
      </c>
    </row>
    <row r="60" spans="2:5">
      <c r="B60" s="55"/>
      <c r="C60" s="170" t="s">
        <v>78</v>
      </c>
    </row>
    <row r="61" spans="2:5">
      <c r="B61" s="55"/>
      <c r="C61" s="170" t="s">
        <v>92</v>
      </c>
    </row>
    <row r="62" spans="2:5">
      <c r="B62" s="55"/>
      <c r="C62" s="171" t="s">
        <v>77</v>
      </c>
    </row>
    <row r="63" spans="2:5">
      <c r="B63" s="55"/>
      <c r="C63" s="170" t="s">
        <v>88</v>
      </c>
    </row>
    <row r="64" spans="2:5">
      <c r="B64" s="55"/>
      <c r="C64" s="170" t="s">
        <v>68</v>
      </c>
    </row>
    <row r="65" spans="2:3">
      <c r="B65" s="55"/>
      <c r="C65" s="170" t="s">
        <v>28</v>
      </c>
    </row>
    <row r="66" spans="2:3">
      <c r="B66" s="55"/>
      <c r="C66" s="170" t="s">
        <v>20</v>
      </c>
    </row>
    <row r="67" spans="2:3">
      <c r="B67" s="55"/>
      <c r="C67" s="174" t="s">
        <v>93</v>
      </c>
    </row>
    <row r="68" spans="2:3">
      <c r="B68" s="55"/>
      <c r="C68" s="171" t="s">
        <v>85</v>
      </c>
    </row>
    <row r="69" spans="2:3">
      <c r="B69" s="55"/>
      <c r="C69" s="170" t="s">
        <v>88</v>
      </c>
    </row>
    <row r="70" spans="2:3">
      <c r="B70" s="55"/>
      <c r="C70" s="170" t="s">
        <v>29</v>
      </c>
    </row>
    <row r="71" spans="2:3">
      <c r="B71" s="55"/>
      <c r="C71" s="170" t="s">
        <v>30</v>
      </c>
    </row>
    <row r="72" spans="2:3" hidden="1">
      <c r="B72" s="55"/>
      <c r="C72" s="170" t="s">
        <v>31</v>
      </c>
    </row>
    <row r="73" spans="2:3" ht="13.5" hidden="1" customHeight="1">
      <c r="B73" s="55"/>
      <c r="C73" s="170" t="s">
        <v>94</v>
      </c>
    </row>
    <row r="74" spans="2:3" ht="13.5" hidden="1" customHeight="1">
      <c r="B74" s="55"/>
      <c r="C74" s="290" t="s">
        <v>95</v>
      </c>
    </row>
    <row r="75" spans="2:3" ht="13.5" hidden="1" customHeight="1">
      <c r="B75" s="55"/>
      <c r="C75" s="170"/>
    </row>
    <row r="76" spans="2:3" ht="13.5" hidden="1" customHeight="1">
      <c r="B76" s="55"/>
    </row>
    <row r="77" spans="2:3" ht="13.5" hidden="1" customHeight="1">
      <c r="B77" s="55"/>
      <c r="C77" s="170"/>
    </row>
    <row r="78" spans="2:3" hidden="1">
      <c r="B78" s="55"/>
      <c r="C78" s="170"/>
    </row>
    <row r="79" spans="2:3" hidden="1">
      <c r="B79" s="55"/>
      <c r="C79" s="321"/>
    </row>
    <row r="80" spans="2:3" hidden="1">
      <c r="B80" s="55"/>
      <c r="C80" s="321"/>
    </row>
    <row r="81" spans="2:3">
      <c r="B81" s="55"/>
      <c r="C81" s="275"/>
    </row>
    <row r="82" spans="2:3">
      <c r="B82" s="55"/>
      <c r="C82" s="275"/>
    </row>
    <row r="83" spans="2:3" ht="30.75" customHeight="1">
      <c r="B83" s="16"/>
      <c r="C83" s="323" t="s">
        <v>11</v>
      </c>
    </row>
    <row r="84" spans="2:3">
      <c r="B84" s="55"/>
      <c r="C84" s="289" t="s">
        <v>13</v>
      </c>
    </row>
    <row r="85" spans="2:3">
      <c r="B85" s="55"/>
      <c r="C85" s="170" t="s">
        <v>13</v>
      </c>
    </row>
    <row r="86" spans="2:3">
      <c r="B86" s="55"/>
      <c r="C86" s="171" t="s">
        <v>16</v>
      </c>
    </row>
    <row r="87" spans="2:3">
      <c r="B87" s="55"/>
      <c r="C87" s="170" t="s">
        <v>79</v>
      </c>
    </row>
    <row r="88" spans="2:3">
      <c r="B88" s="55"/>
      <c r="C88" s="170" t="s">
        <v>32</v>
      </c>
    </row>
    <row r="89" spans="2:3">
      <c r="B89" s="55"/>
      <c r="C89" s="170" t="s">
        <v>96</v>
      </c>
    </row>
    <row r="90" spans="2:3">
      <c r="B90" s="55"/>
      <c r="C90" s="170" t="s">
        <v>83</v>
      </c>
    </row>
    <row r="91" spans="2:3">
      <c r="B91" s="55"/>
      <c r="C91" s="171" t="s">
        <v>102</v>
      </c>
    </row>
    <row r="92" spans="2:3">
      <c r="B92" s="55"/>
      <c r="C92" s="170" t="s">
        <v>69</v>
      </c>
    </row>
    <row r="93" spans="2:3">
      <c r="B93" s="55"/>
      <c r="C93" s="171" t="s">
        <v>87</v>
      </c>
    </row>
    <row r="94" spans="2:3">
      <c r="B94" s="55"/>
      <c r="C94" s="170" t="s">
        <v>34</v>
      </c>
    </row>
    <row r="95" spans="2:3">
      <c r="B95" s="55"/>
      <c r="C95" s="170" t="s">
        <v>97</v>
      </c>
    </row>
    <row r="96" spans="2:3">
      <c r="B96" s="55"/>
      <c r="C96" s="171" t="s">
        <v>26</v>
      </c>
    </row>
    <row r="97" spans="2:3">
      <c r="B97" s="55"/>
      <c r="C97" s="170" t="s">
        <v>37</v>
      </c>
    </row>
    <row r="98" spans="2:3">
      <c r="B98" s="55"/>
      <c r="C98" s="171" t="s">
        <v>22</v>
      </c>
    </row>
    <row r="99" spans="2:3">
      <c r="B99" s="55"/>
      <c r="C99" s="170" t="s">
        <v>33</v>
      </c>
    </row>
    <row r="100" spans="2:3">
      <c r="B100" s="55"/>
      <c r="C100" s="170" t="s">
        <v>35</v>
      </c>
    </row>
    <row r="101" spans="2:3">
      <c r="B101" s="55"/>
      <c r="C101" s="170" t="s">
        <v>36</v>
      </c>
    </row>
    <row r="102" spans="2:3">
      <c r="B102" s="55"/>
      <c r="C102" s="170" t="s">
        <v>54</v>
      </c>
    </row>
    <row r="103" spans="2:3">
      <c r="B103" s="55"/>
      <c r="C103" s="171" t="s">
        <v>91</v>
      </c>
    </row>
    <row r="104" spans="2:3">
      <c r="B104" s="55"/>
      <c r="C104" s="170" t="s">
        <v>84</v>
      </c>
    </row>
    <row r="105" spans="2:3">
      <c r="B105" s="55"/>
      <c r="C105" s="171" t="s">
        <v>77</v>
      </c>
    </row>
    <row r="106" spans="2:3">
      <c r="B106" s="55"/>
      <c r="C106" s="170" t="s">
        <v>69</v>
      </c>
    </row>
    <row r="107" spans="2:3">
      <c r="B107" s="55"/>
      <c r="C107" s="170" t="s">
        <v>84</v>
      </c>
    </row>
    <row r="108" spans="2:3">
      <c r="B108" s="55"/>
      <c r="C108" s="171" t="s">
        <v>85</v>
      </c>
    </row>
    <row r="109" spans="2:3">
      <c r="B109" s="55"/>
      <c r="C109" s="170" t="s">
        <v>38</v>
      </c>
    </row>
    <row r="110" spans="2:3">
      <c r="C110" s="170" t="s">
        <v>39</v>
      </c>
    </row>
    <row r="111" spans="2:3">
      <c r="C111" s="170" t="s">
        <v>40</v>
      </c>
    </row>
    <row r="112" spans="2:3">
      <c r="C112" s="170" t="s">
        <v>41</v>
      </c>
    </row>
    <row r="113" spans="3:3">
      <c r="C113" s="170" t="s">
        <v>82</v>
      </c>
    </row>
    <row r="114" spans="3:3">
      <c r="C114" s="170" t="s">
        <v>98</v>
      </c>
    </row>
    <row r="115" spans="3:3">
      <c r="C115" s="170" t="s">
        <v>99</v>
      </c>
    </row>
    <row r="116" spans="3:3">
      <c r="C116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C7" sqref="C7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(january-july)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(january-july)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(july)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(january-july)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(january-july)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(january-july)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(january-july)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(january-july)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(january-july)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(january-july)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(january-july)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(july)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july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july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july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july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'!C83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J15" sqref="J15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(janeiro-julho)","TABLE I - Consolidated budget execution (january-july)")</f>
        <v>TABLE I - Consolidated budget execution (january-july)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2025","Consolidated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869300.3812200001</v>
      </c>
      <c r="E5" s="57">
        <v>361094.38540999993</v>
      </c>
      <c r="F5" s="57">
        <v>242779.37047000005</v>
      </c>
      <c r="G5" s="57">
        <v>953800.39226000034</v>
      </c>
      <c r="H5" s="57">
        <v>9.471029137683761</v>
      </c>
    </row>
    <row r="6" spans="1:10" ht="11.25" customHeight="1">
      <c r="C6" s="68" t="str">
        <f>+IF(Índice!$D$2=1,"Impostos diretos","Direct taxes")</f>
        <v>Direct taxes</v>
      </c>
      <c r="D6" s="56">
        <v>195670.14759000001</v>
      </c>
      <c r="E6" s="56">
        <v>0</v>
      </c>
      <c r="F6" s="56">
        <v>0</v>
      </c>
      <c r="G6" s="56">
        <v>195670.14759000001</v>
      </c>
      <c r="H6" s="56">
        <v>20.336487587231677</v>
      </c>
    </row>
    <row r="7" spans="1:10">
      <c r="C7" s="68" t="str">
        <f>+IF(Índice!$D$2=1,"Impostos indiretos","Indirect taxes")</f>
        <v>Indirect taxes</v>
      </c>
      <c r="D7" s="56">
        <v>446850.52322000015</v>
      </c>
      <c r="E7" s="56">
        <v>0</v>
      </c>
      <c r="F7" s="56">
        <v>0</v>
      </c>
      <c r="G7" s="56">
        <v>446850.52322000015</v>
      </c>
      <c r="H7" s="56">
        <v>4.7004838934009197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226779.71041</v>
      </c>
      <c r="E9" s="56">
        <v>361094.38540999993</v>
      </c>
      <c r="F9" s="56">
        <v>242779.37047000005</v>
      </c>
      <c r="G9" s="56">
        <v>306550.74279000005</v>
      </c>
      <c r="H9" s="56">
        <v>19.868586695646929</v>
      </c>
    </row>
    <row r="10" spans="1:10">
      <c r="C10" s="69" t="str">
        <f>+IF(Índice!$D$2=1,"Transferências correntes","Current transfers")</f>
        <v>Current transfers</v>
      </c>
      <c r="D10" s="56">
        <v>198458.98105999999</v>
      </c>
      <c r="E10" s="56">
        <v>351091.78630999994</v>
      </c>
      <c r="F10" s="56">
        <v>207770.72868000006</v>
      </c>
      <c r="G10" s="56">
        <v>233236.29526000022</v>
      </c>
      <c r="H10" s="56">
        <v>28.398890415624088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195037.03899999999</v>
      </c>
      <c r="E11" s="56">
        <v>1045.9884500000001</v>
      </c>
      <c r="F11" s="56">
        <v>0</v>
      </c>
      <c r="G11" s="56">
        <v>196083.02744999999</v>
      </c>
      <c r="H11" s="56">
        <v>26.279924561200339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317563.81844999979</v>
      </c>
      <c r="F12" s="56">
        <v>206521.38234000007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4728.9786600001098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102218.38601000002</v>
      </c>
      <c r="E14" s="57">
        <v>4135.1541399999996</v>
      </c>
      <c r="F14" s="57">
        <v>49388.282449999992</v>
      </c>
      <c r="G14" s="57">
        <v>130600.50795000001</v>
      </c>
      <c r="H14" s="57">
        <v>19.251688878331507</v>
      </c>
    </row>
    <row r="15" spans="1:10">
      <c r="C15" s="68" t="str">
        <f>+IF(Índice!$D$2=1,"Venda de bens de investimento","Sale of investment goods")</f>
        <v>Sale of investment goods</v>
      </c>
      <c r="D15" s="56">
        <v>1457.8468400000002</v>
      </c>
      <c r="E15" s="56">
        <v>0</v>
      </c>
      <c r="F15" s="56">
        <v>1468.9999700000001</v>
      </c>
      <c r="G15" s="56">
        <v>2926.84681</v>
      </c>
      <c r="H15" s="56">
        <v>159.15306541394946</v>
      </c>
    </row>
    <row r="16" spans="1:10" ht="11.25" customHeight="1">
      <c r="C16" s="68" t="str">
        <f>+IF(Índice!$D$2=1,"Transferências capital","Capital transfers")</f>
        <v>Capital transfers</v>
      </c>
      <c r="D16" s="56">
        <v>98085.049170000028</v>
      </c>
      <c r="E16" s="56">
        <v>4067.3422099999993</v>
      </c>
      <c r="F16" s="56">
        <v>47857.022309999993</v>
      </c>
      <c r="G16" s="56">
        <v>120187.29602000001</v>
      </c>
      <c r="H16" s="56">
        <v>16.865422709268785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71741.436680000013</v>
      </c>
      <c r="E17" s="56">
        <v>0</v>
      </c>
      <c r="F17" s="56">
        <v>0</v>
      </c>
      <c r="G17" s="56">
        <v>71741.436680000013</v>
      </c>
      <c r="H17" s="56">
        <v>-11.697237476047306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692.69224999999994</v>
      </c>
      <c r="F18" s="56">
        <v>29129.425420000003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4680.803020000003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971518.76723000011</v>
      </c>
      <c r="E20" s="57">
        <v>365229.53954999993</v>
      </c>
      <c r="F20" s="57">
        <v>292167.65292000002</v>
      </c>
      <c r="G20" s="57">
        <v>1084400.9002100003</v>
      </c>
      <c r="H20" s="57">
        <v>10.5631457049987</v>
      </c>
    </row>
    <row r="21" spans="3:8" ht="20.25" customHeight="1">
      <c r="C21" s="220" t="str">
        <f>+IF(Índice!$D$2=1,"Despesa corrente","Current expenditure")</f>
        <v>Current expenditure</v>
      </c>
      <c r="D21" s="220">
        <v>809499.6392799993</v>
      </c>
      <c r="E21" s="220">
        <v>339471.15220000001</v>
      </c>
      <c r="F21" s="220">
        <v>260767.09671000004</v>
      </c>
      <c r="G21" s="220">
        <v>890364.14334999945</v>
      </c>
      <c r="H21" s="220">
        <v>6.1647593749659446</v>
      </c>
    </row>
    <row r="22" spans="3:8" ht="10.5" customHeight="1">
      <c r="C22" s="68" t="str">
        <f>+IF(Índice!$D$2=1,"Consumo público","Public consumption")</f>
        <v>Public consumption</v>
      </c>
      <c r="D22" s="56">
        <v>353515.57313999947</v>
      </c>
      <c r="E22" s="56">
        <v>103425.42260000002</v>
      </c>
      <c r="F22" s="56">
        <v>251869.51672000001</v>
      </c>
      <c r="G22" s="56">
        <v>708810.51245999953</v>
      </c>
      <c r="H22" s="56">
        <v>8.1527287055946474</v>
      </c>
    </row>
    <row r="23" spans="3:8">
      <c r="C23" s="69" t="str">
        <f>+IF(Índice!$D$2=1,"Despesas com o pessoal","Compensation of employees")</f>
        <v>Compensation of employees</v>
      </c>
      <c r="D23" s="56">
        <v>276637.14818999945</v>
      </c>
      <c r="E23" s="56">
        <v>36094.925730000024</v>
      </c>
      <c r="F23" s="56">
        <v>171247.85604000004</v>
      </c>
      <c r="G23" s="56">
        <v>483979.92995999951</v>
      </c>
      <c r="H23" s="56">
        <v>9.8158405554260355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76878.424950000015</v>
      </c>
      <c r="E24" s="56">
        <v>67330.496870000003</v>
      </c>
      <c r="F24" s="56">
        <v>80621.660679999986</v>
      </c>
      <c r="G24" s="56">
        <v>224830.58250000002</v>
      </c>
      <c r="H24" s="56">
        <v>4.738178890954492</v>
      </c>
    </row>
    <row r="25" spans="3:8">
      <c r="C25" s="68" t="str">
        <f>+IF(Índice!$D$2=1,"Subsídios","Subsidies")</f>
        <v>Subsidies</v>
      </c>
      <c r="D25" s="56">
        <v>1207.6956400000001</v>
      </c>
      <c r="E25" s="56">
        <v>20634.377269999997</v>
      </c>
      <c r="F25" s="56">
        <v>6.5214400000000001</v>
      </c>
      <c r="G25" s="56">
        <v>21831.071639999998</v>
      </c>
      <c r="H25" s="56">
        <v>12.146355730084357</v>
      </c>
    </row>
    <row r="26" spans="3:8">
      <c r="C26" s="68" t="str">
        <f>+IF(Índice!$D$2=1,"Juros e outros encargos","Interests and other charges")</f>
        <v>Interests and other charges</v>
      </c>
      <c r="D26" s="56">
        <v>83592.843750000044</v>
      </c>
      <c r="E26" s="56">
        <v>2220.0536000000002</v>
      </c>
      <c r="F26" s="56">
        <v>555.58022000000005</v>
      </c>
      <c r="G26" s="56">
        <v>86368.477570000046</v>
      </c>
      <c r="H26" s="56">
        <v>-3.463893827654041</v>
      </c>
    </row>
    <row r="27" spans="3:8">
      <c r="C27" s="68" t="str">
        <f>+IF(Índice!$D$2=1,"Transferências correntes","Current transfers")</f>
        <v>Current transfers</v>
      </c>
      <c r="D27" s="56">
        <v>371183.52674999973</v>
      </c>
      <c r="E27" s="56">
        <v>213191.29872999998</v>
      </c>
      <c r="F27" s="56">
        <v>8335.4783299999999</v>
      </c>
      <c r="G27" s="56">
        <v>73354.081679999945</v>
      </c>
      <c r="H27" s="56">
        <v>-1.3385187872852367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1466.2808600000001</v>
      </c>
      <c r="F28" s="56">
        <v>0</v>
      </c>
      <c r="G28" s="56">
        <v>1466.2808600000001</v>
      </c>
      <c r="H28" s="56">
        <v>-7.8806497351859406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329123.74642999977</v>
      </c>
      <c r="E29" s="56">
        <v>190232.47569999998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72089.801489999969</v>
      </c>
      <c r="E31" s="57">
        <v>3220.74199</v>
      </c>
      <c r="F31" s="57">
        <v>45451.669490000015</v>
      </c>
      <c r="G31" s="57">
        <v>95620.898319999993</v>
      </c>
      <c r="H31" s="57">
        <v>40.720152135969002</v>
      </c>
    </row>
    <row r="32" spans="3:8">
      <c r="C32" s="68" t="str">
        <f>+IF(Índice!$D$2=1,"Investimento","Investment")</f>
        <v>Investment</v>
      </c>
      <c r="D32" s="56">
        <v>36427.195279999964</v>
      </c>
      <c r="E32" s="56">
        <v>1302.24281</v>
      </c>
      <c r="F32" s="56">
        <v>44756.293800000014</v>
      </c>
      <c r="G32" s="56">
        <v>82485.731889999981</v>
      </c>
      <c r="H32" s="56">
        <v>39.90893131735038</v>
      </c>
    </row>
    <row r="33" spans="3:8">
      <c r="C33" s="68" t="str">
        <f>+IF(Índice!$D$2=1,"Transferências capital","Capital transfers")</f>
        <v>Capital transfers</v>
      </c>
      <c r="D33" s="56">
        <v>35662.606210000005</v>
      </c>
      <c r="E33" s="56">
        <v>1918.49918</v>
      </c>
      <c r="F33" s="56">
        <v>695.37568999999996</v>
      </c>
      <c r="G33" s="56">
        <v>13135.166430000005</v>
      </c>
      <c r="H33" s="56">
        <v>46.03757899881127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4154.4570699999995</v>
      </c>
      <c r="E34" s="56">
        <v>0</v>
      </c>
      <c r="F34" s="56">
        <v>0</v>
      </c>
      <c r="G34" s="56">
        <v>4154.4570699999995</v>
      </c>
      <c r="H34" s="56">
        <v>-21.974461087932063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25141.31465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881589.44076999917</v>
      </c>
      <c r="E38" s="86">
        <v>342691.89419000002</v>
      </c>
      <c r="F38" s="86">
        <v>306218.76620000007</v>
      </c>
      <c r="G38" s="86">
        <v>985985.04166999948</v>
      </c>
      <c r="H38" s="86">
        <v>8.7547015731153301</v>
      </c>
    </row>
    <row r="39" spans="3:8" ht="17.25" customHeight="1">
      <c r="C39" s="138" t="str">
        <f>+IF(Índice!$D$2=1,"Saldo global","Overall balance")</f>
        <v>Overall balance</v>
      </c>
      <c r="D39" s="139">
        <v>89929.326460000942</v>
      </c>
      <c r="E39" s="139">
        <v>22537.645359999908</v>
      </c>
      <c r="F39" s="139">
        <v>-14051.113280000049</v>
      </c>
      <c r="G39" s="139">
        <v>98415.85854000086</v>
      </c>
      <c r="H39" s="139">
        <v>32.66438608931621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59800.741940000793</v>
      </c>
      <c r="E41" s="19">
        <v>21623.233209999918</v>
      </c>
      <c r="F41" s="19">
        <v>-17987.726239999989</v>
      </c>
      <c r="G41" s="19">
        <v>63436.248910000897</v>
      </c>
      <c r="H41" s="19">
        <v>94.479394987268876</v>
      </c>
    </row>
    <row r="42" spans="3:8">
      <c r="C42" s="68" t="str">
        <f>+IF(Índice!$D$2=1,"Despesa corrente primária","Primary current expenditure")</f>
        <v>Primary current expenditure</v>
      </c>
      <c r="D42" s="19">
        <v>725906.7955299993</v>
      </c>
      <c r="E42" s="19">
        <v>337251.09860000003</v>
      </c>
      <c r="F42" s="19">
        <v>260211.51649000004</v>
      </c>
      <c r="G42" s="19">
        <v>803995.66577999946</v>
      </c>
      <c r="H42" s="19">
        <v>7.3145959502041391</v>
      </c>
    </row>
    <row r="43" spans="3:8">
      <c r="C43" s="68" t="str">
        <f>+IF(Índice!$D$2=1,"Saldo corrente primário","Primary current balance")</f>
        <v>Primary current balance</v>
      </c>
      <c r="D43" s="19">
        <v>143393.58569000079</v>
      </c>
      <c r="E43" s="19">
        <v>23843.286809999903</v>
      </c>
      <c r="F43" s="19">
        <v>-17432.146019999986</v>
      </c>
      <c r="G43" s="19">
        <v>149804.72648000089</v>
      </c>
      <c r="H43" s="19">
        <v>22.704231151902743</v>
      </c>
    </row>
    <row r="44" spans="3:8">
      <c r="C44" s="68" t="str">
        <f>+IF(Índice!$D$2=1,"Saldo de capital","Capital balance")</f>
        <v>Capital balance</v>
      </c>
      <c r="D44" s="19">
        <v>30128.584520000048</v>
      </c>
      <c r="E44" s="19">
        <v>914.41214999999966</v>
      </c>
      <c r="F44" s="19">
        <v>3936.6129599999767</v>
      </c>
      <c r="G44" s="19">
        <v>34979.609630000021</v>
      </c>
      <c r="H44" s="19">
        <v>-15.844789084050648</v>
      </c>
    </row>
    <row r="45" spans="3:8">
      <c r="C45" s="68" t="str">
        <f t="array" ref="C45">+IF(Índice!$D$2=1,"Despesa primária","Primary expenditure")</f>
        <v>Primary expenditure</v>
      </c>
      <c r="D45" s="19">
        <v>797996.59701999917</v>
      </c>
      <c r="E45" s="19">
        <v>340471.84059000004</v>
      </c>
      <c r="F45" s="19">
        <v>305663.18598000007</v>
      </c>
      <c r="G45" s="19">
        <v>899616.56409999938</v>
      </c>
      <c r="H45" s="19">
        <v>10.092488714025439</v>
      </c>
    </row>
    <row r="46" spans="3:8">
      <c r="C46" s="221" t="str">
        <f>+IF(Índice!$D$2=1,"Saldo primário","Primary balance")</f>
        <v>Primary balance</v>
      </c>
      <c r="D46" s="132">
        <v>173522.17021000094</v>
      </c>
      <c r="E46" s="132">
        <v>24757.698959999892</v>
      </c>
      <c r="F46" s="132">
        <v>-13495.533060000045</v>
      </c>
      <c r="G46" s="132">
        <v>184784.33611000096</v>
      </c>
      <c r="H46" s="132">
        <v>12.913232788908836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J15" sqref="J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(janeiro-julho)","TABLE II - Regional Gov. budget execution (january-july)")</f>
        <v>TABLE II - Regional Gov. budget execution (january-july)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787980.52724999981</v>
      </c>
      <c r="E5" s="225">
        <v>869300.3812200001</v>
      </c>
      <c r="F5" s="225">
        <v>10.320033447247901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589391.86678999988</v>
      </c>
      <c r="E6" s="231">
        <v>642520.67081000016</v>
      </c>
      <c r="F6" s="231">
        <v>9.014173254435164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162602.50861000002</v>
      </c>
      <c r="E7" s="231">
        <v>195670.14759000001</v>
      </c>
      <c r="F7" s="231">
        <v>20.336487587231677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426789.35817999992</v>
      </c>
      <c r="E8" s="231">
        <v>446850.52322000015</v>
      </c>
      <c r="F8" s="231">
        <v>4.7004838934009641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198588.66045999998</v>
      </c>
      <c r="E9" s="231">
        <v>226779.71041</v>
      </c>
      <c r="F9" s="231">
        <v>14.195699736681732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92440.972269999998</v>
      </c>
      <c r="E10" s="232">
        <v>102218.38600999999</v>
      </c>
      <c r="F10" s="232">
        <v>10.576926550969512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880421.49951999984</v>
      </c>
      <c r="E12" s="232">
        <v>971518.76723000011</v>
      </c>
      <c r="F12" s="232">
        <v>10.347006264575075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773128.65572000016</v>
      </c>
      <c r="E14" s="232">
        <v>809499.63927999942</v>
      </c>
      <c r="F14" s="232">
        <v>4.704389533476494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262478.27671000012</v>
      </c>
      <c r="E15" s="231">
        <v>276637.14818999969</v>
      </c>
      <c r="F15" s="231">
        <v>5.394302209490287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81949.673419999977</v>
      </c>
      <c r="E16" s="231">
        <v>76386.499210000009</v>
      </c>
      <c r="F16" s="231">
        <v>-6.7885251738443948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88457.563079999978</v>
      </c>
      <c r="E17" s="231">
        <v>83592.843750000044</v>
      </c>
      <c r="F17" s="231">
        <v>-5.4994950805962617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323821.4258400001</v>
      </c>
      <c r="E18" s="231">
        <v>371183.52674999979</v>
      </c>
      <c r="F18" s="231">
        <v>14.625993566405104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278600.95452000009</v>
      </c>
      <c r="E19" s="231">
        <v>329123.74642999977</v>
      </c>
      <c r="F19" s="231">
        <v>18.134464756965784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45220.471320000019</v>
      </c>
      <c r="E20" s="231">
        <v>42059.780320000013</v>
      </c>
      <c r="F20" s="231">
        <v>-6.989513615710818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15885.097679999997</v>
      </c>
      <c r="E21" s="231">
        <v>1207.6956400000001</v>
      </c>
      <c r="F21" s="231">
        <v>-92.39730428903475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536.61899000000005</v>
      </c>
      <c r="E22" s="231">
        <v>491.92574000000008</v>
      </c>
      <c r="F22" s="231">
        <v>-8.3286746896527042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58174.936849999976</v>
      </c>
      <c r="E23" s="232">
        <v>72089.801489999954</v>
      </c>
      <c r="F23" s="232">
        <v>23.919002569574733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42838.890539999971</v>
      </c>
      <c r="E24" s="231">
        <v>36427.195279999964</v>
      </c>
      <c r="F24" s="231">
        <v>-14.96699652857072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15336.046310000003</v>
      </c>
      <c r="E25" s="231">
        <v>35662.606209999998</v>
      </c>
      <c r="F25" s="231">
        <v>132.54107016321336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14024.436820000003</v>
      </c>
      <c r="E26" s="231">
        <v>29295.771720000001</v>
      </c>
      <c r="F26" s="231">
        <v>108.89089591263885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1311.6094900000001</v>
      </c>
      <c r="E27" s="231">
        <v>6366.8344899999993</v>
      </c>
      <c r="F27" s="231">
        <v>385.4215022491183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831303.5925700001</v>
      </c>
      <c r="E29" s="235">
        <v>881589.4407699994</v>
      </c>
      <c r="F29" s="235">
        <v>6.0490353523601437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49117.906949999677</v>
      </c>
      <c r="E31" s="139">
        <v>89929.32646000071</v>
      </c>
      <c r="F31" s="139">
        <v>83.088677926658477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14851.871529999655</v>
      </c>
      <c r="E33" s="19">
        <v>59800.741940000677</v>
      </c>
      <c r="F33" s="19">
        <v>302.64785363385147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34266.035420000022</v>
      </c>
      <c r="E34" s="19">
        <v>30128.584520000033</v>
      </c>
      <c r="F34" s="19">
        <v>-12.074495485944336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137575.47002999965</v>
      </c>
      <c r="E35" s="19">
        <v>173522.17021000077</v>
      </c>
      <c r="F35" s="19">
        <v>26.12871333251676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8246.9103599999999</v>
      </c>
      <c r="E36" s="106">
        <v>39835.067080000001</v>
      </c>
      <c r="F36" s="106">
        <v>383.03019362514334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6"/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J15" sqref="J15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(julho)","TABLE III - Regional Gov. budget execution (july)")</f>
        <v>TABLE III - Regional Gov. budget execution (july)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2024</v>
      </c>
      <c r="E3" s="293">
        <v>2025</v>
      </c>
      <c r="F3" s="293" t="s">
        <v>100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159651.25440999996</v>
      </c>
      <c r="E5" s="225">
        <v>214481.16798000006</v>
      </c>
      <c r="F5" s="225">
        <v>34.343553248376949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99060.398419999954</v>
      </c>
      <c r="E6" s="231">
        <v>145199.23854000008</v>
      </c>
      <c r="F6" s="231">
        <v>46.576473399974596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25872.117060000004</v>
      </c>
      <c r="E7" s="231">
        <v>78478.580860000016</v>
      </c>
      <c r="F7" s="231">
        <v>203.33265993656573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73188.28135999995</v>
      </c>
      <c r="E8" s="231">
        <v>66720.657680000062</v>
      </c>
      <c r="F8" s="231">
        <v>-8.8369661916049331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60590.855990000025</v>
      </c>
      <c r="E9" s="231">
        <v>69281.929439999978</v>
      </c>
      <c r="F9" s="231">
        <v>14.343869727528414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30113.98190999998</v>
      </c>
      <c r="E10" s="232">
        <v>29883.115540000028</v>
      </c>
      <c r="F10" s="232">
        <v>-0.76664179014894751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189765.23631999994</v>
      </c>
      <c r="E12" s="232">
        <v>244364.28352000008</v>
      </c>
      <c r="F12" s="232">
        <v>28.771891131803564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129254.98903999972</v>
      </c>
      <c r="E14" s="232">
        <v>128663.52081999947</v>
      </c>
      <c r="F14" s="232">
        <v>-0.45759798085411862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39384.510889999481</v>
      </c>
      <c r="E15" s="231">
        <v>40238.242729999809</v>
      </c>
      <c r="F15" s="231">
        <v>2.1676842512651451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5681.1542799999715</v>
      </c>
      <c r="E16" s="231">
        <v>6122.5772800000159</v>
      </c>
      <c r="F16" s="231">
        <v>7.769952693487614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28059.309650000007</v>
      </c>
      <c r="E17" s="231">
        <v>30717.993190000048</v>
      </c>
      <c r="F17" s="231">
        <v>9.4752279124587844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52278.84375000024</v>
      </c>
      <c r="E18" s="231">
        <v>51438.077299999597</v>
      </c>
      <c r="F18" s="231">
        <v>-1.6082345929860797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3760.9877199999987</v>
      </c>
      <c r="E19" s="231">
        <v>94.393989999999988</v>
      </c>
      <c r="F19" s="231">
        <v>-97.490180850683544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90.182749999999999</v>
      </c>
      <c r="E20" s="231">
        <v>52.236330000000017</v>
      </c>
      <c r="F20" s="231">
        <v>-42.077248697783098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10140.98518000004</v>
      </c>
      <c r="E21" s="232">
        <v>21934.551999999978</v>
      </c>
      <c r="F21" s="232">
        <v>116.29606601988836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6829.7336700000387</v>
      </c>
      <c r="E22" s="231">
        <v>8370.7092499999708</v>
      </c>
      <c r="F22" s="231">
        <v>22.562747750600408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3311.2515100000014</v>
      </c>
      <c r="E23" s="231">
        <v>13563.842750000007</v>
      </c>
      <c r="F23" s="231">
        <v>309.62888832325524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139395.97421999977</v>
      </c>
      <c r="E25" s="300">
        <v>150598.07281999945</v>
      </c>
      <c r="F25" s="300">
        <v>8.0361708167555168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50369.262100000167</v>
      </c>
      <c r="E27" s="287">
        <v>93766.210700000636</v>
      </c>
      <c r="F27" s="287">
        <v>86.157602455725325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30396.265370000241</v>
      </c>
      <c r="E29" s="19">
        <v>85817.64716000059</v>
      </c>
      <c r="F29" s="19">
        <v>182.32957606923244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19972.996729999941</v>
      </c>
      <c r="E30" s="19">
        <v>7948.5635400000501</v>
      </c>
      <c r="F30" s="19">
        <v>-60.203450451373143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78428.571750000177</v>
      </c>
      <c r="E31" s="19">
        <v>124484.20389000069</v>
      </c>
      <c r="F31" s="19">
        <v>58.72302798884057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6"/>
      <c r="E33" s="326"/>
      <c r="F33" s="326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J15" sqref="J15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(janeiro-julho)","TABLE IV - Regional Gov. tax revenue budget execution (january-july)")</f>
        <v>TABLE IV - Regional Gov. tax revenue budget execution (january-july)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589391.86678999988</v>
      </c>
      <c r="E5" s="33">
        <v>642520.67081000016</v>
      </c>
      <c r="F5" s="270">
        <v>0.53024391439698115</v>
      </c>
      <c r="G5" s="270">
        <v>9.0141732544351649E-2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162602.50861000002</v>
      </c>
      <c r="E7" s="70">
        <v>195670.14759000001</v>
      </c>
      <c r="F7" s="271">
        <v>0.46588063158651727</v>
      </c>
      <c r="G7" s="271">
        <v>0.20336487587231677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93475.923519999997</v>
      </c>
      <c r="E8" s="70">
        <v>105082.29838000001</v>
      </c>
      <c r="F8" s="271">
        <v>0.44995869458396337</v>
      </c>
      <c r="G8" s="271">
        <v>0.12416432406272748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69126.585090000008</v>
      </c>
      <c r="E9" s="70">
        <v>90587.84921</v>
      </c>
      <c r="F9" s="271">
        <v>0.48582224363702148</v>
      </c>
      <c r="G9" s="271">
        <v>0.31046324785259238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426789.35817999992</v>
      </c>
      <c r="E11" s="70">
        <v>446850.52322000015</v>
      </c>
      <c r="F11" s="271">
        <v>0.56438700568701639</v>
      </c>
      <c r="G11" s="271">
        <v>4.7004838934009641E-2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19629.154320000001</v>
      </c>
      <c r="E12" s="70">
        <v>25649.22107</v>
      </c>
      <c r="F12" s="271">
        <v>0.50222743299279782</v>
      </c>
      <c r="G12" s="271">
        <v>0.30669007191339848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343799.43254999997</v>
      </c>
      <c r="E13" s="70">
        <v>350632.95945000002</v>
      </c>
      <c r="F13" s="271">
        <v>0.58737211609978701</v>
      </c>
      <c r="G13" s="271">
        <v>1.9876492667003642E-2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3455.6996200000003</v>
      </c>
      <c r="E14" s="70">
        <v>3793.9084700000003</v>
      </c>
      <c r="F14" s="271">
        <v>0.52053193637887085</v>
      </c>
      <c r="G14" s="271">
        <v>9.7869863469209673E-2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19497.01093</v>
      </c>
      <c r="E15" s="70">
        <v>23784.724839999999</v>
      </c>
      <c r="F15" s="271">
        <v>0.46531525840281329</v>
      </c>
      <c r="G15" s="271">
        <v>0.21991647465317388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5762.8330700000006</v>
      </c>
      <c r="E16" s="70">
        <v>5503.5632299999997</v>
      </c>
      <c r="F16" s="271">
        <v>0.43117606729638203</v>
      </c>
      <c r="G16" s="271">
        <v>-4.4989996560841017E-2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34645.22769</v>
      </c>
      <c r="E17" s="70">
        <v>37486.146160000011</v>
      </c>
      <c r="F17" s="271">
        <v>0.51666498805642436</v>
      </c>
      <c r="G17" s="271">
        <v>8.2000282850501094E-2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19038.849509999996</v>
      </c>
      <c r="E18" s="70">
        <v>21299.431940000002</v>
      </c>
      <c r="F18" s="271">
        <v>0.51552502517184629</v>
      </c>
      <c r="G18" s="271">
        <v>0.11873524336712959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3814.9639499999998</v>
      </c>
      <c r="E19" s="70">
        <v>5017.3814000000011</v>
      </c>
      <c r="F19" s="271">
        <v>0.54797638758436917</v>
      </c>
      <c r="G19" s="271">
        <v>0.3151844855571968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291029.63272999995</v>
      </c>
      <c r="E21" s="33">
        <v>328998.09641999996</v>
      </c>
      <c r="F21" s="270">
        <v>0.46150763470676043</v>
      </c>
      <c r="G21" s="270">
        <v>0.13046253515093054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880421.49951999984</v>
      </c>
      <c r="E23" s="139">
        <v>971518.76723000011</v>
      </c>
      <c r="F23" s="274">
        <v>0.50478411357770037</v>
      </c>
      <c r="G23" s="274">
        <v>0.10347006264575076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J15" sqref="J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(janeiro-julho)","TABLE V - Regional Gov. non-tax revenue budget execution (january-july)")</f>
        <v>TABLE V - Regional Gov. non-tax revenue budget execution (january-july)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589391.86678999988</v>
      </c>
      <c r="E5" s="41">
        <v>642520.67081000016</v>
      </c>
      <c r="F5" s="276">
        <v>0.53024391439698115</v>
      </c>
      <c r="G5" s="42">
        <v>9.0141732544351649E-2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291029.63272999995</v>
      </c>
      <c r="E7" s="41">
        <v>328998.09641999996</v>
      </c>
      <c r="F7" s="276">
        <v>0.46150763470676043</v>
      </c>
      <c r="G7" s="42">
        <v>0.13046253515093054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198588.66045999998</v>
      </c>
      <c r="E8" s="41">
        <v>226779.71041</v>
      </c>
      <c r="F8" s="276">
        <v>0.53882794908655296</v>
      </c>
      <c r="G8" s="42">
        <v>0.14195699736681733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14868.241130000002</v>
      </c>
      <c r="E10" s="71">
        <v>16238.17193</v>
      </c>
      <c r="F10" s="278">
        <v>0.30313818495030614</v>
      </c>
      <c r="G10" s="43">
        <v>9.2138053722834456E-2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4834.331619999999</v>
      </c>
      <c r="E11" s="71">
        <v>3028.2043799999997</v>
      </c>
      <c r="F11" s="278">
        <v>0.59431443156326735</v>
      </c>
      <c r="G11" s="43">
        <v>-0.37360433291913886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156884.86296</v>
      </c>
      <c r="E12" s="71">
        <v>198458.98105999999</v>
      </c>
      <c r="F12" s="278">
        <v>0.57681969771429209</v>
      </c>
      <c r="G12" s="43">
        <v>0.26499763785751518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7118.4578200000005</v>
      </c>
      <c r="E13" s="47">
        <v>7427.2353499999999</v>
      </c>
      <c r="F13" s="278">
        <v>0.434592829498199</v>
      </c>
      <c r="G13" s="43">
        <v>4.3377026008703634E-2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14882.766929999998</v>
      </c>
      <c r="E14" s="71">
        <v>1627.1176900000003</v>
      </c>
      <c r="F14" s="278">
        <v>1.5257813930023558</v>
      </c>
      <c r="G14" s="43">
        <v>-0.89067102255561559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92440.972269999998</v>
      </c>
      <c r="E17" s="41">
        <v>102218.38600999999</v>
      </c>
      <c r="F17" s="276">
        <v>0.35006188682980077</v>
      </c>
      <c r="G17" s="42">
        <v>0.10576926550969512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871.65354000000002</v>
      </c>
      <c r="E18" s="71">
        <v>1457.8468400000002</v>
      </c>
      <c r="F18" s="278">
        <v>0.29994663763174456</v>
      </c>
      <c r="G18" s="43">
        <v>0.67250722116037087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87925.155140000003</v>
      </c>
      <c r="E19" s="44">
        <v>98085.049169999998</v>
      </c>
      <c r="F19" s="278">
        <v>0.35347215402110832</v>
      </c>
      <c r="G19" s="43">
        <v>0.11555161903124045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18.735439999999997</v>
      </c>
      <c r="E20" s="71">
        <v>12.79744</v>
      </c>
      <c r="F20" s="278">
        <v>0.57200375452554419</v>
      </c>
      <c r="G20" s="43">
        <v>-0.31693944737887114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3625.4281499999997</v>
      </c>
      <c r="E21" s="47">
        <v>2662.6925599999995</v>
      </c>
      <c r="F21" s="278">
        <v>0.27655718321562106</v>
      </c>
      <c r="G21" s="43">
        <v>-0.26555086741961786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880421.49951999984</v>
      </c>
      <c r="E23" s="287">
        <v>971518.76723000011</v>
      </c>
      <c r="F23" s="288">
        <v>0.50478411357770037</v>
      </c>
      <c r="G23" s="288">
        <v>0.10347006264575076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J15" sqref="J15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(janeiro-julho)","TABLE VI - Regional Gov. expenditure budget execution (january-july)")</f>
        <v>TABLE VI - Regional Gov. expenditure budget execution (january-july)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8">
        <v>2024</v>
      </c>
      <c r="E3" s="330">
        <v>2025</v>
      </c>
      <c r="F3" s="153">
        <v>2024</v>
      </c>
      <c r="G3" s="153">
        <v>2025</v>
      </c>
      <c r="H3" s="331" t="str">
        <f>+IF(Índice!$D$2=1,"VH (%)","yoy change (%)")</f>
        <v>yoy change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Execution level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773128.65572000016</v>
      </c>
      <c r="E5" s="253">
        <v>809499.63927999942</v>
      </c>
      <c r="F5" s="253">
        <v>49.720752321919385</v>
      </c>
      <c r="G5" s="253">
        <v>48.407647705633536</v>
      </c>
      <c r="H5" s="253">
        <v>4.704389533476502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262478.27671000012</v>
      </c>
      <c r="E6" s="74">
        <v>276637.14818999969</v>
      </c>
      <c r="F6" s="74">
        <v>54.408626410446125</v>
      </c>
      <c r="G6" s="74">
        <v>54.509003979710556</v>
      </c>
      <c r="H6" s="254">
        <v>5.3943022094902862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215071.84971000033</v>
      </c>
      <c r="E7" s="75">
        <v>218246.95091999968</v>
      </c>
      <c r="F7" s="75">
        <v>55.377744306749207</v>
      </c>
      <c r="G7" s="75">
        <v>55.102098386399589</v>
      </c>
      <c r="H7" s="254">
        <v>1.4762979042959887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2686.5562999999988</v>
      </c>
      <c r="E8" s="75">
        <v>11122.649190000002</v>
      </c>
      <c r="F8" s="75">
        <v>33.751750368164629</v>
      </c>
      <c r="G8" s="75">
        <v>75.294996661272734</v>
      </c>
      <c r="H8" s="254">
        <v>314.0113940660766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44719.870699999985</v>
      </c>
      <c r="E9" s="75">
        <v>47267.548079999986</v>
      </c>
      <c r="F9" s="75">
        <v>51.946559729237741</v>
      </c>
      <c r="G9" s="75">
        <v>48.901964198015314</v>
      </c>
      <c r="H9" s="254">
        <v>5.6969694682055554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81949.673419999977</v>
      </c>
      <c r="E10" s="75">
        <v>76386.499210000009</v>
      </c>
      <c r="F10" s="75">
        <v>38.297155868494016</v>
      </c>
      <c r="G10" s="75">
        <v>34.234754445068283</v>
      </c>
      <c r="H10" s="254">
        <v>-6.7885251738443966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88457.563079999978</v>
      </c>
      <c r="E11" s="75">
        <v>83592.843750000044</v>
      </c>
      <c r="F11" s="75">
        <v>60.255497896871226</v>
      </c>
      <c r="G11" s="75">
        <v>60.681304204259057</v>
      </c>
      <c r="H11" s="254">
        <v>-5.4994950805962626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323821.4258400001</v>
      </c>
      <c r="E12" s="74">
        <v>371183.52674999979</v>
      </c>
      <c r="F12" s="74">
        <v>48.734704995781023</v>
      </c>
      <c r="G12" s="74">
        <v>47.385347111322922</v>
      </c>
      <c r="H12" s="254">
        <v>14.625993566405104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278600.95452000009</v>
      </c>
      <c r="E13" s="74">
        <v>329123.74642999977</v>
      </c>
      <c r="F13" s="74">
        <v>50.385890672208134</v>
      </c>
      <c r="G13" s="74">
        <v>51.235732732994499</v>
      </c>
      <c r="H13" s="254">
        <v>18.13446475696578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105.28400000000001</v>
      </c>
      <c r="E14" s="75">
        <v>0</v>
      </c>
      <c r="F14" s="74">
        <v>21.930785670542459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278495.6705200001</v>
      </c>
      <c r="E15" s="75">
        <v>329123.74642999977</v>
      </c>
      <c r="F15" s="75">
        <v>50.410617701852289</v>
      </c>
      <c r="G15" s="75">
        <v>51.267014740790565</v>
      </c>
      <c r="H15" s="254">
        <v>18.179124944911422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101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101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45220.471320000019</v>
      </c>
      <c r="E18" s="75">
        <v>42059.780320000013</v>
      </c>
      <c r="F18" s="72">
        <v>40.548081794438197</v>
      </c>
      <c r="G18" s="72">
        <v>29.838464676269876</v>
      </c>
      <c r="H18" s="77">
        <v>-6.9895136157108171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15885.097679999997</v>
      </c>
      <c r="E19" s="72">
        <v>1207.6956400000001</v>
      </c>
      <c r="F19" s="72">
        <v>35.826901983499063</v>
      </c>
      <c r="G19" s="72">
        <v>8.417106085749273</v>
      </c>
      <c r="H19" s="77">
        <v>-92.39730428903475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536.61899000000005</v>
      </c>
      <c r="E20" s="72">
        <v>491.92574000000008</v>
      </c>
      <c r="F20" s="72">
        <v>18.268489978559284</v>
      </c>
      <c r="G20" s="72">
        <v>7.9499295387698385</v>
      </c>
      <c r="H20" s="77">
        <v>-8.3286746896527042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684671.09264000016</v>
      </c>
      <c r="E22" s="78">
        <v>725906.79552999942</v>
      </c>
      <c r="F22" s="78">
        <v>48.622461654403907</v>
      </c>
      <c r="G22" s="78">
        <v>47.305799713388794</v>
      </c>
      <c r="H22" s="76">
        <v>6.0227024820048856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58174.936849999976</v>
      </c>
      <c r="E24" s="78">
        <v>72089.801489999954</v>
      </c>
      <c r="F24" s="78">
        <v>19.221545891805338</v>
      </c>
      <c r="G24" s="78">
        <v>20.907943350947541</v>
      </c>
      <c r="H24" s="76">
        <v>23.919002569574744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42838.890539999971</v>
      </c>
      <c r="E25" s="72">
        <v>36427.195279999964</v>
      </c>
      <c r="F25" s="72">
        <v>22.017326316559313</v>
      </c>
      <c r="G25" s="72">
        <v>22.27887238648719</v>
      </c>
      <c r="H25" s="77">
        <v>-14.966996528570723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15336.046310000003</v>
      </c>
      <c r="E26" s="59">
        <v>35662.606209999998</v>
      </c>
      <c r="F26" s="59">
        <v>14.18876622629382</v>
      </c>
      <c r="G26" s="59">
        <v>19.703246270944188</v>
      </c>
      <c r="H26" s="77">
        <v>132.54107016321333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14024.436820000003</v>
      </c>
      <c r="E27" s="59">
        <v>29295.771720000001</v>
      </c>
      <c r="F27" s="59">
        <v>19.636403795392528</v>
      </c>
      <c r="G27" s="59">
        <v>27.369151245232743</v>
      </c>
      <c r="H27" s="77">
        <v>108.89089591263883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4852.8693800000001</v>
      </c>
      <c r="E28" s="72">
        <v>4154.4570699999995</v>
      </c>
      <c r="F28" s="72">
        <v>63.317354784659742</v>
      </c>
      <c r="G28" s="72">
        <v>33.503650923591763</v>
      </c>
      <c r="H28" s="77">
        <v>-14.391739305375669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8700.7880800000021</v>
      </c>
      <c r="E29" s="72">
        <v>25141.31465</v>
      </c>
      <c r="F29" s="72">
        <v>15.112287902401391</v>
      </c>
      <c r="G29" s="72">
        <v>29.43180211990142</v>
      </c>
      <c r="H29" s="77">
        <v>188.95445353727078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470.77936</v>
      </c>
      <c r="E30" s="72">
        <v>0</v>
      </c>
      <c r="F30" s="72">
        <v>7.6153528232149688</v>
      </c>
      <c r="G30" s="72">
        <v>0</v>
      </c>
      <c r="H30" s="77">
        <v>-100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831303.5925700001</v>
      </c>
      <c r="E33" s="142">
        <v>881589.4407699994</v>
      </c>
      <c r="F33" s="143">
        <v>44.751571706439194</v>
      </c>
      <c r="G33" s="143">
        <v>43.706829424658757</v>
      </c>
      <c r="H33" s="141">
        <v>6.0490353523601517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8246.9103599999999</v>
      </c>
      <c r="E36" s="150">
        <v>39835.067080000001</v>
      </c>
      <c r="F36" s="150">
        <v>17.311515618570038</v>
      </c>
      <c r="G36" s="150">
        <v>72.278077382065774</v>
      </c>
      <c r="H36" s="128">
        <v>383.03019362514328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179416.6845</v>
      </c>
      <c r="E37" s="150">
        <v>393394.63079999998</v>
      </c>
      <c r="F37" s="150">
        <v>67.761417309220462</v>
      </c>
      <c r="G37" s="150">
        <v>84.835820692875103</v>
      </c>
      <c r="H37" s="128">
        <v>119.26312588838412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J15" sqref="J15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(janeiro-julho)","TABLE VII - Regional Gov. expenditure by functional classification (january-july)")</f>
        <v>TABLE VII - Regional Gov. expenditure by functional classification (january-july)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30">
        <v>2024</v>
      </c>
      <c r="E3" s="333">
        <v>2025</v>
      </c>
      <c r="F3" s="334" t="str">
        <f>+IF(Índice!$D$2=1,"Peso na estrutura
 em 2025","Weight in 2025 structure")</f>
        <v>Weight in 2025 structure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141673.70109000005</v>
      </c>
      <c r="E5" s="34">
        <v>143565.64086000004</v>
      </c>
      <c r="F5" s="34">
        <v>16.284863931061437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6687.8758299999981</v>
      </c>
      <c r="E7" s="34">
        <v>7599.4107000000022</v>
      </c>
      <c r="F7" s="34">
        <v>0.86201244576642166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133743.71746000001</v>
      </c>
      <c r="E8" s="34">
        <v>122382.07679000002</v>
      </c>
      <c r="F8" s="34">
        <v>13.881980787236822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10145.166959999999</v>
      </c>
      <c r="E9" s="34">
        <v>4865.7923600000004</v>
      </c>
      <c r="F9" s="34">
        <v>0.55193405625980563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31665.238509999999</v>
      </c>
      <c r="E10" s="34">
        <v>44981.853899999973</v>
      </c>
      <c r="F10" s="34">
        <v>5.1023585151736599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239844.92356000005</v>
      </c>
      <c r="E11" s="34">
        <v>272199.33757000003</v>
      </c>
      <c r="F11" s="34">
        <v>30.875975253543743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15358.642169999988</v>
      </c>
      <c r="E12" s="34">
        <v>16794.586909999995</v>
      </c>
      <c r="F12" s="34">
        <v>1.9050349440813643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240962.14330999952</v>
      </c>
      <c r="E13" s="34">
        <v>253575.98108000038</v>
      </c>
      <c r="F13" s="34">
        <v>28.763500259091266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11222.183679999998</v>
      </c>
      <c r="E14" s="34">
        <v>15624.760600000003</v>
      </c>
      <c r="F14" s="34">
        <v>1.7723398077854673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831303.59256999963</v>
      </c>
      <c r="E17" s="145">
        <v>881589.44077000057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8246.9103599999999</v>
      </c>
      <c r="E20" s="152">
        <v>39835.067080000001</v>
      </c>
      <c r="F20" s="152">
        <v>4.5185508398566041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179416.6845</v>
      </c>
      <c r="E21" s="283">
        <v>393394.63079999998</v>
      </c>
      <c r="F21" s="283">
        <v>44.623337418424619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2.xml><?xml version="1.0" encoding="utf-8"?>
<LongProperties xmlns="http://schemas.microsoft.com/office/2006/metadata/longProperties"/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2025-08-29T08:10:01Z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