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3\Setembro\"/>
    </mc:Choice>
  </mc:AlternateContent>
  <xr:revisionPtr revIDLastSave="0" documentId="13_ncr:1_{5E750C01-876A-4C18-899C-54ECF7457928}" xr6:coauthVersionLast="47" xr6:coauthVersionMax="47" xr10:uidLastSave="{00000000-0000-0000-0000-000000000000}"/>
  <bookViews>
    <workbookView xWindow="-120" yWindow="-120" windowWidth="29040" windowHeight="1584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1_12_13_14_Compromissos" sheetId="38" r:id="rId15"/>
    <sheet name="Pagamentos_Atraso " sheetId="53" r:id="rId16"/>
  </sheets>
  <externalReferences>
    <externalReference r:id="rId17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Q_11_12_13_14_Compromissos!$C$1:$I$48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61" l="1"/>
  <c r="D42" i="38"/>
  <c r="C41" i="38"/>
  <c r="D33" i="38"/>
  <c r="C32" i="38"/>
  <c r="D24" i="38"/>
  <c r="C23" i="38"/>
  <c r="D3" i="38"/>
  <c r="C2" i="8"/>
  <c r="C2" i="60"/>
  <c r="C2" i="9"/>
  <c r="C2" i="50"/>
  <c r="C2" i="10"/>
  <c r="C2" i="11"/>
  <c r="C2" i="12"/>
  <c r="C2" i="39"/>
  <c r="C2" i="13"/>
  <c r="C2" i="51"/>
  <c r="C2" i="61"/>
  <c r="C2" i="38"/>
  <c r="C2" i="32"/>
  <c r="C46" i="12"/>
  <c r="F33" i="38" l="1"/>
  <c r="E33" i="38"/>
  <c r="F42" i="38"/>
  <c r="E42" i="38"/>
  <c r="F24" i="38"/>
  <c r="E24" i="38"/>
  <c r="G24" i="38"/>
  <c r="G33" i="38"/>
  <c r="G42" i="38"/>
  <c r="G3" i="38"/>
  <c r="A16" i="54" l="1"/>
  <c r="A8" i="54"/>
  <c r="A14" i="54"/>
  <c r="F3" i="11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G3" i="32"/>
  <c r="A20" i="54"/>
  <c r="E2" i="53" l="1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<sst xmlns="http://schemas.openxmlformats.org/spreadsheetml/2006/main" count="122" uniqueCount="105">
  <si>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</si>
  <si>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</si>
  <si>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</si>
  <si>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</si>
  <si>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</si>
  <si>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</si>
  <si>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</si>
  <si>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</si>
  <si>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</si>
  <si>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</si>
  <si>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</si>
  <si>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</si>
  <si>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</si>
  <si>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</si>
  <si>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</si>
  <si>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</si>
  <si>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</si>
  <si>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</si>
  <si>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</si>
  <si>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Inspeção Regional de Educação</t>
  </si>
  <si>
    <t>Escola Básica dos 1º, 2º e 3º Ciclos Com Pré-Escolar de Bartolomeu Perestrelo</t>
  </si>
  <si>
    <t>Escola Básica e Secundária de Machico</t>
  </si>
  <si>
    <t>Escola Básica e Secundaria Com Pré-Escolar da Calheta</t>
  </si>
  <si>
    <t>Escola Básica e Secundária Padre Manuel Álvares, Ribeira Brava</t>
  </si>
  <si>
    <t>Escola Básica dos 2º e 3º Ciclos do Estreito de Câmara de Lobos</t>
  </si>
  <si>
    <t>Escola Básica e Secundária de Santa Cruz</t>
  </si>
  <si>
    <t>Escola Básica e Secundária Prof.Doutor Freitas Branco-Porto Santo</t>
  </si>
  <si>
    <t>Escola Básica e Secundária da Ponta do Sol</t>
  </si>
  <si>
    <t>Escola Básica dos 2º e 3º Ciclos Dr. Horácio Bento de Gouveia-Funchal</t>
  </si>
  <si>
    <t>Escola Básica Com Pré-Escolar de Santo António e Curral das Freiras</t>
  </si>
  <si>
    <t>Escola Básica e Secundária Bispo D. Manuel Ferreira Cabral, Santana</t>
  </si>
  <si>
    <t>Escola Básica e Secundária D. Lucinda Andrade, São Vicente</t>
  </si>
  <si>
    <t>Escola Secundária Jaime Moniz, Funchal</t>
  </si>
  <si>
    <t>Escola Secundária Francisco Franco, Funchal</t>
  </si>
  <si>
    <t>Escola Básica e Secundária Dr. Ângelo Augusto da Silva, Funchal</t>
  </si>
  <si>
    <t>Escola Básica e Secundária Dr. Luís Maurílio da Silva Dantas, Carmo</t>
  </si>
  <si>
    <t>Escola Básica dos 2º e 3º Ciclos do Caniço</t>
  </si>
  <si>
    <t>Escola Básica dos 2º e 3º Ciclos dos Louros, Funchal</t>
  </si>
  <si>
    <t>Escola Básica dos 2º e 3º Ciclos Dr. Eduardo Brazão de Castro, São Roque</t>
  </si>
  <si>
    <t>Escola Básica e Secundária Com Pré-Escolar e Creche do Porto Moniz</t>
  </si>
  <si>
    <t>Escola Básica dos 2º e 3º Ciclos Dr. Alfredo Ferreira Nóbrega Júnior-Camacha</t>
  </si>
  <si>
    <t>Escola Básica dos 2º e 3º Ciclos da Torre</t>
  </si>
  <si>
    <t>Escola Básica dos 2º e 3º Ciclos do Caniçal</t>
  </si>
  <si>
    <t>Escola Básica dos 1º, 2º e 3º Ciclo e Pre-Escolar Porto da Cruz</t>
  </si>
  <si>
    <t>Escola Básica 2 3 Ciclos Cónego João Jacinto Gonçalves de Andrade-Campanário</t>
  </si>
  <si>
    <t>Direção Regional de Juventude</t>
  </si>
  <si>
    <t>Secretaria Regional de Economia</t>
  </si>
  <si>
    <t>Direção Regional da Economia e Transportes</t>
  </si>
  <si>
    <t>Autoridade Regional das Atividades Económicas</t>
  </si>
  <si>
    <t>Gabinete do Secretário Regional</t>
  </si>
  <si>
    <t>Secretaria Regional das Finanças</t>
  </si>
  <si>
    <t>Direção Regional da Administração Pública e Modernização Administrativa</t>
  </si>
  <si>
    <t>Direção Regional dos Assuntos Europeus e Cooperação Externa</t>
  </si>
  <si>
    <t>Inspeção Regional de Finanças</t>
  </si>
  <si>
    <t>Autoridade Tributária e Assuntos Fiscais da RAM</t>
  </si>
  <si>
    <t>Direção Regional de Estatística da Madeira</t>
  </si>
  <si>
    <t>Direção Regional de Informática</t>
  </si>
  <si>
    <t>Secretaria Regional de Saúde e Proteção Civil</t>
  </si>
  <si>
    <t>Direção Regional da Saúde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</si>
  <si>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</si>
  <si>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</si>
  <si>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</si>
  <si>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de Turismo</t>
  </si>
  <si>
    <t>Direção Regional da Cultura</t>
  </si>
  <si>
    <t>Direção Regional do Arquivo e Biblioteca da Madeira</t>
  </si>
  <si>
    <t>Secretaria Regional de Inclusão Social e Cidadania</t>
  </si>
  <si>
    <t>Gabinete da Secretária Regional</t>
  </si>
  <si>
    <t>Direção Regional do Trabalho e Ação Inspetiva</t>
  </si>
  <si>
    <t>Secretaria Regional de Mar e Pescas</t>
  </si>
  <si>
    <t>Gabinete do Secretário Regional de Mar e Pescas</t>
  </si>
  <si>
    <t>Direção Regional de Pescas</t>
  </si>
  <si>
    <t>Direção Regional do Mar</t>
  </si>
  <si>
    <t>Secretaria Regional de Agricultura e Desenvolvimento Rural</t>
  </si>
  <si>
    <t>Gabinete do Secretario Regional de Agricultura e Desenvolvimento Rural</t>
  </si>
  <si>
    <t>Direção Regional de Agricultura e Desenvolvimento Rural</t>
  </si>
  <si>
    <t>Secretaria Regional de Equipamentos e Infraestruturas</t>
  </si>
  <si>
    <t>Gabinete do Secretário Regional dos Equipamentos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</si>
  <si>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</si>
  <si>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</si>
  <si>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</si>
  <si>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</si>
  <si>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Conservatório -Escola Profissional das Artes da Madeira</t>
  </si>
  <si>
    <t>Instituto das Artes da Madeira</t>
  </si>
  <si>
    <t>Instituto para a Qualificação</t>
  </si>
  <si>
    <t>ARDITI-Agencia Regional Para Desenvolvimento da Inv. Tecnologica e Inovaçao</t>
  </si>
  <si>
    <t>EPHTM-Escola Profissional de Hotelaria e Turismo da Madeira</t>
  </si>
  <si>
    <t>Instituto de Desenvolvimento Empresarial</t>
  </si>
  <si>
    <t>APRAM -Administração dos Portos da Região Autónoma da Madeira, S.A.</t>
  </si>
  <si>
    <t>Fundo de Estabilização Tributária da Região Autónoma da Madeira</t>
  </si>
  <si>
    <t>Gabinete de Gestão da Loja do Cidadão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</si>
  <si>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</si>
  <si>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</si>
  <si>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</si>
  <si>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</si>
  <si>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</si>
  <si>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Instituto das Florestas e Conservação da Natureza, IP-RAM</t>
  </si>
  <si>
    <t>Instituto do Vinho, do Bordado e do Artesanato da Madeira</t>
  </si>
  <si>
    <t>CARAM -Centro de Abate da Região Autónoma da Madeira, EPERAM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</si>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</sst>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4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 applyAlignment="1">
      <alignment vertical="center"/>
    </xf>
    <xf numFmtId="0" fontId="0" fillId="0" borderId="0" xfId="0" applyBorder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7" fillId="0" borderId="21" xfId="62" applyFont="1" applyBorder="1" applyAlignment="1">
      <alignment horizontal="center" vertical="center"/>
    </xf>
    <xf numFmtId="0" fontId="64" fillId="0" borderId="25" xfId="62" applyFont="1" applyBorder="1" applyAlignment="1">
      <alignment horizont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25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10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.costa/Documents/USR_DATA/hugo.costa/Hugo/DROC/Pagamentos%20em%20atraso/2023/Maio/MPA_Maio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Regional-Accounts"/>
      <sheetName val="Caderno_SIGO"/>
      <sheetName val="RESUMO_Info"/>
      <sheetName val="SIGO_vs_MPA"/>
      <sheetName val="PMP"/>
      <sheetName val="RAM_CP (REPORTE)"/>
      <sheetName val="Folha1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ODES"/>
      <sheetName val="DOREC"/>
      <sheetName val="R_SFA"/>
      <sheetName val="D_SFA"/>
      <sheetName val="MPA"/>
      <sheetName val="GR"/>
      <sheetName val="SFA"/>
      <sheetName val="EPR"/>
      <sheetName val="ALM"/>
      <sheetName val="PGR"/>
      <sheetName val="SRE"/>
      <sheetName val="SREM"/>
      <sheetName val="SRF"/>
      <sheetName val="SRS"/>
      <sheetName val="SRTC"/>
      <sheetName val="SRIC"/>
      <sheetName val="SRAAC"/>
      <sheetName val="SRMAR"/>
      <sheetName val="SRA"/>
      <sheetName val="SR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 t="str">
            <v xml:space="preserve">Impostos directos </v>
          </cell>
        </row>
        <row r="17">
          <cell r="C17" t="str">
            <v>Impostos indirectos</v>
          </cell>
        </row>
        <row r="33">
          <cell r="C33" t="str">
            <v>Contribuições de Segurança Social</v>
          </cell>
        </row>
        <row r="46">
          <cell r="C46" t="str">
            <v>Outras receitas correntes</v>
          </cell>
        </row>
        <row r="78">
          <cell r="C78" t="str">
            <v>Outras receitas correntes</v>
          </cell>
        </row>
        <row r="109">
          <cell r="C109" t="str">
            <v>Outras receitas correntes</v>
          </cell>
        </row>
        <row r="116">
          <cell r="C116" t="str">
            <v>Outras receitas correntes(das quais:transf. de Outros Subsectores da AP)</v>
          </cell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4">
          <cell r="C134" t="str">
            <v>Outras receitas correntes(das quais:transf. de Outros Subsectores da AP)</v>
          </cell>
        </row>
        <row r="151">
          <cell r="C151" t="str">
            <v>Outras receitas correntes</v>
          </cell>
        </row>
        <row r="180">
          <cell r="C180" t="str">
            <v>Outras receitas correntes</v>
          </cell>
        </row>
        <row r="186">
          <cell r="C186" t="str">
            <v>RECEITAS DE CAPITAL</v>
          </cell>
        </row>
        <row r="239">
          <cell r="C239" t="str">
            <v>RECEITAS DE CAPITAL</v>
          </cell>
        </row>
        <row r="246">
          <cell r="C246" t="str">
            <v>RECEITAS DE CAPITAL(das quais:transf. de Outros Subsectores da AP)</v>
          </cell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4">
          <cell r="C264" t="str">
            <v>RECEITAS DE CAPITAL(das quais:transf. de Outros Subsectores da AP)</v>
          </cell>
        </row>
        <row r="280">
          <cell r="C280" t="str">
            <v>ACTIVOS FINANCEIROS RECEITA</v>
          </cell>
        </row>
        <row r="400">
          <cell r="C400" t="str">
            <v>PASSIVOS FINANCEIROS RECEITA</v>
          </cell>
        </row>
        <row r="492">
          <cell r="C492" t="str">
            <v>RECEITAS DE CAPITAL</v>
          </cell>
        </row>
        <row r="497">
          <cell r="C497" t="str">
            <v>RECURSOS PROPRIOS DA COMUNIDADE:</v>
          </cell>
        </row>
        <row r="503">
          <cell r="C503" t="str">
            <v>RECEITAS DE CAPITAL</v>
          </cell>
        </row>
        <row r="506">
          <cell r="C506" t="str">
            <v>SALDO DA GERENCIA ANTERIOR</v>
          </cell>
        </row>
        <row r="513">
          <cell r="C513" t="str">
            <v>OPERACOES EXTRA-ORCAMENTAIS RECEITA</v>
          </cell>
        </row>
        <row r="519">
          <cell r="C519" t="str">
            <v>Despesas com o Pessoal</v>
          </cell>
        </row>
        <row r="562">
          <cell r="C562" t="str">
            <v>Aquisição de  Bens Serv. e Outras Desp. Corr.</v>
          </cell>
        </row>
        <row r="611">
          <cell r="C611" t="str">
            <v>Juros e Outros Encargos</v>
          </cell>
        </row>
        <row r="648">
          <cell r="C648" t="str">
            <v>Transferências Correntes</v>
          </cell>
        </row>
        <row r="650">
          <cell r="C650" t="str">
            <v>Transferências Correntes(das quais:transf. para EP fora do perímetro APR)</v>
          </cell>
        </row>
        <row r="655">
          <cell r="C655" t="str">
            <v>Transferências Correntes(das quais:transf. para Outros Subsectores da AP)</v>
          </cell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93">
          <cell r="C693" t="str">
            <v>Subsidios</v>
          </cell>
        </row>
        <row r="712">
          <cell r="C712" t="str">
            <v>D.05.04.03</v>
          </cell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6">
          <cell r="C736" t="str">
            <v>Investimentos</v>
          </cell>
        </row>
        <row r="770">
          <cell r="C770" t="str">
            <v>Transferências de Capital</v>
          </cell>
        </row>
        <row r="772">
          <cell r="C772" t="str">
            <v>Transferências de Capital(das quais:transf. para EP fora do perímetro APR)</v>
          </cell>
        </row>
        <row r="777">
          <cell r="C777" t="str">
            <v>Transferências de Capital(das quais:transf. para Outros Subsectores da AP)</v>
          </cell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92">
          <cell r="C792" t="str">
            <v>Transferências de Capital(das quais:transf. para Outros Subsectores da AP)</v>
          </cell>
        </row>
        <row r="811">
          <cell r="C811" t="str">
            <v>ACTIVOS FINANCEIROS DESPESA</v>
          </cell>
        </row>
        <row r="965">
          <cell r="C965" t="str">
            <v>PASSIVOS FINANCEIROS DESPESA</v>
          </cell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8">
          <cell r="C1088" t="str">
            <v>OPERACOES EXTRA-ORCAMENTAIS DESPESA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/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topLeftCell="A32" zoomScale="120" zoomScaleNormal="120" zoomScalePageLayoutView="115" workbookViewId="0">
      <selection activeCell="C46" sqref="C4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(janeiro-setembro)","TABLE VIII - Budget execution by organic and economic cross-classification (january-september)")</f>
        <v>QUADRO VIII - Execução orçamental por classificação cruzada orgânica e económica (janeiro-setembro)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Milhares</v>
      </c>
      <c r="R2" s="190" t="str">
        <f>+IF(Índice!$D$2=1,"índice","Index")</f>
        <v>índice</v>
      </c>
    </row>
    <row r="3" spans="2:18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+IF(Índice!$D$2=1,"Economia","Economy")</f>
        <v>Economia</v>
      </c>
      <c r="H3" s="192" t="str">
        <f>+IF(Índice!$D$2=1,"Finanças","Finances")</f>
        <v>Finanças</v>
      </c>
      <c r="I3" s="192" t="str">
        <f>+IF(Índice!$D$2=1,"Saúde e Proteção Civil","Health and Civil Protection")</f>
        <v>Saúde e Proteção Civil</v>
      </c>
      <c r="J3" s="192" t="str">
        <f>+IF(Índice!$D$2=1,"Turismo e Cultura","Tourism and Culture")</f>
        <v>Turismo e Cultura</v>
      </c>
      <c r="K3" s="192" t="str">
        <f>+IF(Índice!$D$2=1,"Inclusão Social e Cidadania","Social Inclusion and Citizenship")</f>
        <v>Inclusão Social e Cidadania</v>
      </c>
      <c r="L3" s="192" t="str">
        <f>+IF(Índice!$D$2=1,"Ambiente, Recursos Naturais e Alterações Climáticas","Environment, Natural Resources and Climate Changes")</f>
        <v>Ambiente, Recursos Naturais e Alterações Climáticas</v>
      </c>
      <c r="M3" s="192" t="str">
        <f>+IF(Índice!$D$2=1,"Mar e Pescas","Sea and fisheries")</f>
        <v>Mar e Pescas</v>
      </c>
      <c r="N3" s="192" t="str">
        <f>+IF(Índice!$D$2=1,"Agricultura e Desenvolvimento Rural","Agriculture and Rural Development")</f>
        <v>Agricultura e Desenvolvimento Rural</v>
      </c>
      <c r="O3" s="192" t="str">
        <f>+IF(Índice!$D$2=1,"Equipamentos e Infraestruturas","Equipment and infrastructures")</f>
        <v>Equipamentos e Infraestruturas</v>
      </c>
      <c r="P3" s="193" t="s">
        <v>5</v>
      </c>
    </row>
    <row r="4" spans="2:18" ht="27" customHeight="1">
      <c r="C4" s="253" t="str">
        <f>+IF(Índice!$D$2=1,"Despesa corrente","Current expenditure")</f>
        <v>Despesa corrente</v>
      </c>
      <c r="D4" s="194">
        <v>10460</v>
      </c>
      <c r="E4" s="194">
        <v>2012.3079099999998</v>
      </c>
      <c r="F4" s="194">
        <v>302378.64932000026</v>
      </c>
      <c r="G4" s="194">
        <v>28861.67368</v>
      </c>
      <c r="H4" s="194">
        <v>137225.94735999999</v>
      </c>
      <c r="I4" s="194">
        <v>278163.88880999997</v>
      </c>
      <c r="J4" s="194">
        <v>23397.731189999999</v>
      </c>
      <c r="K4" s="194">
        <v>17520.980560000004</v>
      </c>
      <c r="L4" s="194">
        <v>12604.33209</v>
      </c>
      <c r="M4" s="194">
        <v>5170.1220699999994</v>
      </c>
      <c r="N4" s="194">
        <v>20784.259240000007</v>
      </c>
      <c r="O4" s="194">
        <v>85971.200500000006</v>
      </c>
      <c r="P4" s="194">
        <v>924551.09273000003</v>
      </c>
    </row>
    <row r="5" spans="2:18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1255.4386399999999</v>
      </c>
      <c r="F5" s="196">
        <v>240210.11875000026</v>
      </c>
      <c r="G5" s="196">
        <v>4980.87979</v>
      </c>
      <c r="H5" s="196">
        <v>22135.728300000002</v>
      </c>
      <c r="I5" s="196">
        <v>3853.8995500000001</v>
      </c>
      <c r="J5" s="196">
        <v>8948.327019999997</v>
      </c>
      <c r="K5" s="196">
        <v>3988.1992100000002</v>
      </c>
      <c r="L5" s="196">
        <v>4182.5844899999993</v>
      </c>
      <c r="M5" s="196">
        <v>4227.0466799999995</v>
      </c>
      <c r="N5" s="196">
        <v>12945.737130000005</v>
      </c>
      <c r="O5" s="196">
        <v>11508.285350000002</v>
      </c>
      <c r="P5" s="196">
        <v>318236.24491000024</v>
      </c>
      <c r="Q5" s="21"/>
    </row>
    <row r="6" spans="2:18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979.58614999999986</v>
      </c>
      <c r="F6" s="198">
        <v>195751.58321000022</v>
      </c>
      <c r="G6" s="198">
        <v>4075.3045499999998</v>
      </c>
      <c r="H6" s="198">
        <v>16657.72133</v>
      </c>
      <c r="I6" s="198">
        <v>3101.9049599999998</v>
      </c>
      <c r="J6" s="198">
        <v>7302.890419999997</v>
      </c>
      <c r="K6" s="198">
        <v>3171.2303900000002</v>
      </c>
      <c r="L6" s="198">
        <v>3441.8085699999997</v>
      </c>
      <c r="M6" s="198">
        <v>3380.5249399999989</v>
      </c>
      <c r="N6" s="198">
        <v>10364.819650000005</v>
      </c>
      <c r="O6" s="198">
        <v>9324.7152600000027</v>
      </c>
      <c r="P6" s="198">
        <v>257552.08943000025</v>
      </c>
    </row>
    <row r="7" spans="2:18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19.622630000000001</v>
      </c>
      <c r="F7" s="198">
        <v>2804.0527200000015</v>
      </c>
      <c r="G7" s="198">
        <v>48.306820000000002</v>
      </c>
      <c r="H7" s="198">
        <v>1663.5027799999998</v>
      </c>
      <c r="I7" s="198">
        <v>64.446799999999996</v>
      </c>
      <c r="J7" s="198">
        <v>98.122979999999984</v>
      </c>
      <c r="K7" s="198">
        <v>147.09603000000001</v>
      </c>
      <c r="L7" s="198">
        <v>33.886339999999997</v>
      </c>
      <c r="M7" s="198">
        <v>131.80568</v>
      </c>
      <c r="N7" s="198">
        <v>311.33053999999993</v>
      </c>
      <c r="O7" s="198">
        <v>198.15188000000001</v>
      </c>
      <c r="P7" s="198">
        <v>5520.3252000000011</v>
      </c>
    </row>
    <row r="8" spans="2:18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256.22985999999997</v>
      </c>
      <c r="F8" s="198">
        <v>41654.482820000019</v>
      </c>
      <c r="G8" s="198">
        <v>857.26841999999999</v>
      </c>
      <c r="H8" s="198">
        <v>3814.5041900000015</v>
      </c>
      <c r="I8" s="198">
        <v>687.54778999999996</v>
      </c>
      <c r="J8" s="198">
        <v>1547.3136200000004</v>
      </c>
      <c r="K8" s="198">
        <v>669.8727899999999</v>
      </c>
      <c r="L8" s="198">
        <v>706.88958000000002</v>
      </c>
      <c r="M8" s="198">
        <v>714.7160600000002</v>
      </c>
      <c r="N8" s="198">
        <v>2269.5869400000006</v>
      </c>
      <c r="O8" s="198">
        <v>1985.4182099999998</v>
      </c>
      <c r="P8" s="198">
        <v>55163.830280000024</v>
      </c>
    </row>
    <row r="9" spans="2:18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704.85277000000008</v>
      </c>
      <c r="F9" s="196">
        <v>12425.388500000008</v>
      </c>
      <c r="G9" s="196">
        <v>1091.84601</v>
      </c>
      <c r="H9" s="196">
        <v>25896.746489999987</v>
      </c>
      <c r="I9" s="196">
        <v>639.10356999999988</v>
      </c>
      <c r="J9" s="196">
        <v>5696.8318700000009</v>
      </c>
      <c r="K9" s="196">
        <v>498.45365999999979</v>
      </c>
      <c r="L9" s="196">
        <v>642.86394999999982</v>
      </c>
      <c r="M9" s="196">
        <v>774.39933999999948</v>
      </c>
      <c r="N9" s="196">
        <v>2861.1208900000006</v>
      </c>
      <c r="O9" s="196">
        <v>69779.711609999998</v>
      </c>
      <c r="P9" s="196">
        <v>121011.31865999999</v>
      </c>
    </row>
    <row r="10" spans="2:18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109.50593000000001</v>
      </c>
      <c r="F10" s="198">
        <v>6702.7263900000007</v>
      </c>
      <c r="G10" s="198">
        <v>130.00397000000001</v>
      </c>
      <c r="H10" s="198">
        <v>393.15231999999997</v>
      </c>
      <c r="I10" s="198">
        <v>131.85093000000001</v>
      </c>
      <c r="J10" s="198">
        <v>1562.3596200000002</v>
      </c>
      <c r="K10" s="198">
        <v>6.5767400000000009</v>
      </c>
      <c r="L10" s="198">
        <v>34.479910000000004</v>
      </c>
      <c r="M10" s="198">
        <v>51.753469999999993</v>
      </c>
      <c r="N10" s="198">
        <v>431.89904999999987</v>
      </c>
      <c r="O10" s="198">
        <v>913.44688000000008</v>
      </c>
      <c r="P10" s="198">
        <v>10467.755210000001</v>
      </c>
    </row>
    <row r="11" spans="2:18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595.34684000000004</v>
      </c>
      <c r="F11" s="198">
        <v>5722.6621100000084</v>
      </c>
      <c r="G11" s="198">
        <v>961.84204</v>
      </c>
      <c r="H11" s="198">
        <v>25503.594169999986</v>
      </c>
      <c r="I11" s="198">
        <v>507.25263999999987</v>
      </c>
      <c r="J11" s="198">
        <v>4134.4722500000007</v>
      </c>
      <c r="K11" s="198">
        <v>491.87691999999981</v>
      </c>
      <c r="L11" s="198">
        <v>608.3840399999998</v>
      </c>
      <c r="M11" s="198">
        <v>722.64586999999949</v>
      </c>
      <c r="N11" s="198">
        <v>2429.2218400000006</v>
      </c>
      <c r="O11" s="198">
        <v>68866.264729999995</v>
      </c>
      <c r="P11" s="198">
        <v>110543.56344999999</v>
      </c>
    </row>
    <row r="12" spans="2:18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12.38804</v>
      </c>
      <c r="G12" s="198">
        <v>1.5E-3</v>
      </c>
      <c r="H12" s="198">
        <v>84198.657250000004</v>
      </c>
      <c r="I12" s="198">
        <v>1.9550000000000001E-2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39.403669999999998</v>
      </c>
      <c r="P12" s="198">
        <v>84250.470010000005</v>
      </c>
    </row>
    <row r="13" spans="2:18" ht="15" customHeight="1">
      <c r="B13" s="195"/>
      <c r="C13" s="104" t="str">
        <f>+IF(Índice!$D$2=1,"Transferências correntes","Current transfers")</f>
        <v>Transferências correntes</v>
      </c>
      <c r="D13" s="196">
        <v>10460</v>
      </c>
      <c r="E13" s="196">
        <v>52.016500000000001</v>
      </c>
      <c r="F13" s="196">
        <v>49701.598320000005</v>
      </c>
      <c r="G13" s="196">
        <v>8161.7172100000007</v>
      </c>
      <c r="H13" s="196">
        <v>4517.155569999999</v>
      </c>
      <c r="I13" s="196">
        <v>273667.71039999998</v>
      </c>
      <c r="J13" s="196">
        <v>8749.142170000001</v>
      </c>
      <c r="K13" s="196">
        <v>13034.327690000002</v>
      </c>
      <c r="L13" s="196">
        <v>5970.2208799999999</v>
      </c>
      <c r="M13" s="196">
        <v>79.679959999999994</v>
      </c>
      <c r="N13" s="196">
        <v>4963.0643700000001</v>
      </c>
      <c r="O13" s="196">
        <v>4595.3535400000001</v>
      </c>
      <c r="P13" s="196">
        <v>383951.98660999991</v>
      </c>
    </row>
    <row r="14" spans="2:18" ht="15" customHeight="1">
      <c r="B14" s="195"/>
      <c r="C14" s="109" t="str">
        <f>IF(Índice!$D$2=1,"Administração Pública","Public Administration")</f>
        <v>Administração Pública</v>
      </c>
      <c r="D14" s="200">
        <v>10460</v>
      </c>
      <c r="E14" s="200">
        <v>0</v>
      </c>
      <c r="F14" s="200">
        <v>12820.540260000002</v>
      </c>
      <c r="G14" s="200">
        <v>7625.880900000001</v>
      </c>
      <c r="H14" s="200">
        <v>4356.4814499999993</v>
      </c>
      <c r="I14" s="200">
        <v>271782.08944000001</v>
      </c>
      <c r="J14" s="200">
        <v>0</v>
      </c>
      <c r="K14" s="200">
        <v>4049.7977600000004</v>
      </c>
      <c r="L14" s="200">
        <v>5967.1162400000003</v>
      </c>
      <c r="M14" s="200">
        <v>0</v>
      </c>
      <c r="N14" s="200">
        <v>3764.0074700000005</v>
      </c>
      <c r="O14" s="200">
        <v>4574.2305900000001</v>
      </c>
      <c r="P14" s="200">
        <v>325400.14410999999</v>
      </c>
    </row>
    <row r="15" spans="2:18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2:18" ht="15" customHeight="1">
      <c r="B16" s="195"/>
      <c r="C16" s="201" t="str">
        <f>IF(Índice!$D$2=1,"Administração Regional","Regional Administration")</f>
        <v>Administração Regional</v>
      </c>
      <c r="D16" s="198">
        <v>10460</v>
      </c>
      <c r="E16" s="198">
        <v>0</v>
      </c>
      <c r="F16" s="198">
        <v>12820.540260000002</v>
      </c>
      <c r="G16" s="198">
        <v>7625.880900000001</v>
      </c>
      <c r="H16" s="198">
        <v>4356.4814499999993</v>
      </c>
      <c r="I16" s="198">
        <v>271782.08944000001</v>
      </c>
      <c r="J16" s="198">
        <v>0</v>
      </c>
      <c r="K16" s="198">
        <v>4049.7977600000004</v>
      </c>
      <c r="L16" s="198">
        <v>5967.1162400000003</v>
      </c>
      <c r="M16" s="198">
        <v>0</v>
      </c>
      <c r="N16" s="198">
        <v>3764.0074700000005</v>
      </c>
      <c r="O16" s="198">
        <v>4574.2305900000001</v>
      </c>
      <c r="P16" s="198">
        <v>325400.14410999999</v>
      </c>
    </row>
    <row r="17" spans="2:16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52.016500000000001</v>
      </c>
      <c r="F19" s="200">
        <v>36881.058060000003</v>
      </c>
      <c r="G19" s="200">
        <v>535.83631000000003</v>
      </c>
      <c r="H19" s="200">
        <v>160.67411999999999</v>
      </c>
      <c r="I19" s="200">
        <v>1885.6209599999997</v>
      </c>
      <c r="J19" s="200">
        <v>8749.142170000001</v>
      </c>
      <c r="K19" s="200">
        <v>8984.5299300000006</v>
      </c>
      <c r="L19" s="200">
        <v>3.1046399999999998</v>
      </c>
      <c r="M19" s="200">
        <v>79.679959999999994</v>
      </c>
      <c r="N19" s="200">
        <v>1199.0569</v>
      </c>
      <c r="O19" s="200">
        <v>21.122950000000003</v>
      </c>
      <c r="P19" s="200">
        <v>58551.842499999999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12651.444810000001</v>
      </c>
      <c r="G20" s="198">
        <v>97.9</v>
      </c>
      <c r="H20" s="198">
        <v>0</v>
      </c>
      <c r="I20" s="198">
        <v>0</v>
      </c>
      <c r="J20" s="198">
        <v>17.75</v>
      </c>
      <c r="K20" s="198">
        <v>0</v>
      </c>
      <c r="L20" s="198">
        <v>0</v>
      </c>
      <c r="M20" s="198">
        <v>0</v>
      </c>
      <c r="N20" s="198">
        <v>440</v>
      </c>
      <c r="O20" s="198">
        <v>1.234</v>
      </c>
      <c r="P20" s="198">
        <v>13208.328810000001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24.5</v>
      </c>
      <c r="F22" s="198">
        <v>19234.43751</v>
      </c>
      <c r="G22" s="198">
        <v>421.13812999999999</v>
      </c>
      <c r="H22" s="198">
        <v>49.089959999999998</v>
      </c>
      <c r="I22" s="198">
        <v>1859.4711499999999</v>
      </c>
      <c r="J22" s="198">
        <v>8505.518970000001</v>
      </c>
      <c r="K22" s="198">
        <v>7398.4145399999998</v>
      </c>
      <c r="L22" s="198">
        <v>0</v>
      </c>
      <c r="M22" s="198">
        <v>60</v>
      </c>
      <c r="N22" s="198">
        <v>735.15638999999999</v>
      </c>
      <c r="O22" s="198">
        <v>0</v>
      </c>
      <c r="P22" s="198">
        <v>38287.726649999997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4995.1757400000006</v>
      </c>
      <c r="G23" s="198">
        <v>16.798179999999999</v>
      </c>
      <c r="H23" s="198">
        <v>92.527159999999995</v>
      </c>
      <c r="I23" s="198">
        <v>26.149810000000002</v>
      </c>
      <c r="J23" s="198">
        <v>200.8082</v>
      </c>
      <c r="K23" s="198">
        <v>1586.1153899999999</v>
      </c>
      <c r="L23" s="198">
        <v>3.1046399999999998</v>
      </c>
      <c r="M23" s="198">
        <v>19.679960000000001</v>
      </c>
      <c r="N23" s="198">
        <v>23.900510000000001</v>
      </c>
      <c r="O23" s="198">
        <v>19.888950000000001</v>
      </c>
      <c r="P23" s="198">
        <v>6984.1485400000001</v>
      </c>
    </row>
    <row r="24" spans="2:16" hidden="1">
      <c r="B24" s="195"/>
      <c r="C24" s="187">
        <v>0</v>
      </c>
      <c r="D24" s="198">
        <v>0</v>
      </c>
      <c r="E24" s="198">
        <v>27.516500000000001</v>
      </c>
      <c r="F24" s="198">
        <v>0</v>
      </c>
      <c r="G24" s="198">
        <v>0</v>
      </c>
      <c r="H24" s="198">
        <v>19.056999999999999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71.638499999999993</v>
      </c>
    </row>
    <row r="25" spans="2:16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14625.643689999999</v>
      </c>
      <c r="H25" s="198">
        <v>0</v>
      </c>
      <c r="I25" s="198">
        <v>0</v>
      </c>
      <c r="J25" s="198">
        <v>0</v>
      </c>
      <c r="K25" s="198">
        <v>0</v>
      </c>
      <c r="L25" s="198">
        <v>1793.92</v>
      </c>
      <c r="M25" s="198">
        <v>57.871699999999997</v>
      </c>
      <c r="N25" s="198">
        <v>0</v>
      </c>
      <c r="O25" s="198">
        <v>0</v>
      </c>
      <c r="P25" s="198">
        <v>16477.435389999999</v>
      </c>
    </row>
    <row r="26" spans="2:16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29.155709999999999</v>
      </c>
      <c r="G26" s="198">
        <v>1.58548</v>
      </c>
      <c r="H26" s="198">
        <v>477.65974999999997</v>
      </c>
      <c r="I26" s="198">
        <v>3.1557399999999998</v>
      </c>
      <c r="J26" s="198">
        <v>3.4301300000000001</v>
      </c>
      <c r="K26" s="198">
        <v>0</v>
      </c>
      <c r="L26" s="198">
        <v>14.74277</v>
      </c>
      <c r="M26" s="198">
        <v>31.124389999999998</v>
      </c>
      <c r="N26" s="198">
        <v>14.33685</v>
      </c>
      <c r="O26" s="198">
        <v>48.446330000000003</v>
      </c>
      <c r="P26" s="198">
        <v>623.63714999999991</v>
      </c>
    </row>
    <row r="27" spans="2:16" ht="24.95" customHeight="1">
      <c r="B27" s="195"/>
      <c r="C27" s="202" t="str">
        <f>+IF(Índice!$D$2=1,"Despesa de capital","Capital expenditure")</f>
        <v>Despesa de capital</v>
      </c>
      <c r="D27" s="32">
        <v>70</v>
      </c>
      <c r="E27" s="32">
        <v>5.2246800000000002</v>
      </c>
      <c r="F27" s="32">
        <v>4772.4164399999991</v>
      </c>
      <c r="G27" s="32">
        <v>13061.096699999998</v>
      </c>
      <c r="H27" s="32">
        <v>7191.8344999999999</v>
      </c>
      <c r="I27" s="32">
        <v>553.65244000000007</v>
      </c>
      <c r="J27" s="32">
        <v>2453.1563199999996</v>
      </c>
      <c r="K27" s="32">
        <v>543.75915000000009</v>
      </c>
      <c r="L27" s="32">
        <v>1193.50467</v>
      </c>
      <c r="M27" s="32">
        <v>575.46902</v>
      </c>
      <c r="N27" s="32">
        <v>5154.6582000000008</v>
      </c>
      <c r="O27" s="32">
        <v>67039.234580000004</v>
      </c>
      <c r="P27" s="32">
        <v>102614.0067</v>
      </c>
    </row>
    <row r="28" spans="2:16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5.2246800000000002</v>
      </c>
      <c r="F28" s="198">
        <v>1812.9908099999993</v>
      </c>
      <c r="G28" s="198">
        <v>29.081580000000002</v>
      </c>
      <c r="H28" s="198">
        <v>5038.0643499999996</v>
      </c>
      <c r="I28" s="198">
        <v>12.334010000000001</v>
      </c>
      <c r="J28" s="198">
        <v>2184.4175699999996</v>
      </c>
      <c r="K28" s="198">
        <v>4.9080399999999997</v>
      </c>
      <c r="L28" s="198">
        <v>448.43462</v>
      </c>
      <c r="M28" s="198">
        <v>78.569270000000003</v>
      </c>
      <c r="N28" s="198">
        <v>398.36919999999998</v>
      </c>
      <c r="O28" s="198">
        <v>59240.338250000001</v>
      </c>
      <c r="P28" s="198">
        <v>69252.732380000001</v>
      </c>
    </row>
    <row r="29" spans="2:16" ht="15" customHeight="1">
      <c r="C29" s="104" t="str">
        <f>+IF(Índice!$D$2=1,"Transferências capital","Capital transfers")</f>
        <v>Transferências capital</v>
      </c>
      <c r="D29" s="196">
        <v>70</v>
      </c>
      <c r="E29" s="196">
        <v>0</v>
      </c>
      <c r="F29" s="196">
        <v>2959.4256300000002</v>
      </c>
      <c r="G29" s="196">
        <v>13032.015119999998</v>
      </c>
      <c r="H29" s="196">
        <v>2153.7701500000003</v>
      </c>
      <c r="I29" s="196">
        <v>541.31843000000003</v>
      </c>
      <c r="J29" s="196">
        <v>268.73874999999998</v>
      </c>
      <c r="K29" s="196">
        <v>538.85111000000006</v>
      </c>
      <c r="L29" s="196">
        <v>745.07005000000004</v>
      </c>
      <c r="M29" s="196">
        <v>496.89974999999998</v>
      </c>
      <c r="N29" s="196">
        <v>4756.2890000000007</v>
      </c>
      <c r="O29" s="196">
        <v>7798.8963299999996</v>
      </c>
      <c r="P29" s="196">
        <v>33361.274319999997</v>
      </c>
    </row>
    <row r="30" spans="2:16" ht="15" customHeight="1">
      <c r="C30" s="109" t="str">
        <f>IF(Índice!$D$2=1,"Administração Pública","Public Administration")</f>
        <v>Administração Pública</v>
      </c>
      <c r="D30" s="200">
        <v>70</v>
      </c>
      <c r="E30" s="200">
        <v>0</v>
      </c>
      <c r="F30" s="200">
        <v>1312.4455400000002</v>
      </c>
      <c r="G30" s="200">
        <v>13032.015119999998</v>
      </c>
      <c r="H30" s="200">
        <v>2153.7701500000003</v>
      </c>
      <c r="I30" s="200">
        <v>541.31843000000003</v>
      </c>
      <c r="J30" s="200">
        <v>0</v>
      </c>
      <c r="K30" s="200">
        <v>1.5833900000000001</v>
      </c>
      <c r="L30" s="200">
        <v>41.988200000000006</v>
      </c>
      <c r="M30" s="200">
        <v>496.89974999999998</v>
      </c>
      <c r="N30" s="200">
        <v>4756.2890000000007</v>
      </c>
      <c r="O30" s="200">
        <v>6465.22181</v>
      </c>
      <c r="P30" s="200">
        <v>28871.53139</v>
      </c>
    </row>
    <row r="31" spans="2:16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496.89974999999998</v>
      </c>
      <c r="N31" s="198">
        <v>4640.3702400000002</v>
      </c>
      <c r="O31" s="198">
        <v>0</v>
      </c>
      <c r="P31" s="198">
        <v>5137.2699899999998</v>
      </c>
    </row>
    <row r="32" spans="2:16" ht="15" customHeight="1">
      <c r="C32" s="201" t="str">
        <f>IF(Índice!$D$2=1,"Administração Regional","Regional Administration")</f>
        <v>Administração Regional</v>
      </c>
      <c r="D32" s="198">
        <v>70</v>
      </c>
      <c r="E32" s="198">
        <v>0</v>
      </c>
      <c r="F32" s="198">
        <v>1312.4455400000002</v>
      </c>
      <c r="G32" s="198">
        <v>13032.015119999998</v>
      </c>
      <c r="H32" s="198">
        <v>1414.7597000000001</v>
      </c>
      <c r="I32" s="198">
        <v>541.31843000000003</v>
      </c>
      <c r="J32" s="198">
        <v>0</v>
      </c>
      <c r="K32" s="198">
        <v>1.5833900000000001</v>
      </c>
      <c r="L32" s="198">
        <v>41.988200000000006</v>
      </c>
      <c r="M32" s="198">
        <v>0</v>
      </c>
      <c r="N32" s="198">
        <v>115.91876000000002</v>
      </c>
      <c r="O32" s="198">
        <v>6465.22181</v>
      </c>
      <c r="P32" s="198">
        <v>22995.250949999998</v>
      </c>
    </row>
    <row r="33" spans="1:171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739.01044999999999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739.01044999999999</v>
      </c>
    </row>
    <row r="34" spans="1:171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1646.98009</v>
      </c>
      <c r="G35" s="200">
        <v>0</v>
      </c>
      <c r="H35" s="200">
        <v>0</v>
      </c>
      <c r="I35" s="200">
        <v>0</v>
      </c>
      <c r="J35" s="200">
        <v>268.73874999999998</v>
      </c>
      <c r="K35" s="200">
        <v>537.26772000000005</v>
      </c>
      <c r="L35" s="200">
        <v>703.08185000000003</v>
      </c>
      <c r="M35" s="200">
        <v>0</v>
      </c>
      <c r="N35" s="200">
        <v>0</v>
      </c>
      <c r="O35" s="200">
        <v>1333.67452</v>
      </c>
      <c r="P35" s="200">
        <v>4489.7429300000003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10530</v>
      </c>
      <c r="E38" s="204">
        <v>2017.5325899999998</v>
      </c>
      <c r="F38" s="204">
        <v>307151.06576000026</v>
      </c>
      <c r="G38" s="204">
        <v>41922.770380000002</v>
      </c>
      <c r="H38" s="204">
        <v>144417.78185999999</v>
      </c>
      <c r="I38" s="204">
        <v>278717.54124999995</v>
      </c>
      <c r="J38" s="204">
        <v>25850.887509999997</v>
      </c>
      <c r="K38" s="204">
        <v>18064.739710000005</v>
      </c>
      <c r="L38" s="204">
        <v>13797.83676</v>
      </c>
      <c r="M38" s="204">
        <v>5745.5910899999999</v>
      </c>
      <c r="N38" s="204">
        <v>25938.917440000008</v>
      </c>
      <c r="O38" s="204">
        <v>153010.43508000002</v>
      </c>
      <c r="P38" s="204">
        <v>1027165.0994300002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9479.7910800000009</v>
      </c>
      <c r="H40" s="208">
        <v>3649.8625499999998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5623.3353100000004</v>
      </c>
      <c r="P40" s="208">
        <v>18894.362939999999</v>
      </c>
    </row>
    <row r="41" spans="1:171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173062.58490999998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173062.58490999998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168405.64811000001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Nota: Estrutura orgânica aprovada pelo Decreto Legislativo Regional n.º 18/2020/M, de 31 de janeiro, em vigor ao abrigo do n.º 1 do artigo 19.º do Decreto Regulamentar Regional n.º 9/2021/M, de 27 de agosto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5" t="str">
        <f>+IF(Índice!$D$2=1,"Fonte: Secretaria Regional das Finanças","Source: Regional Finance Secretariat")</f>
        <v>Fonte: Secretaria Regional das Finanças</v>
      </c>
      <c r="D47" s="335" t="str">
        <f>+IF(Índice!$D$2="PT","Fonte: Vice-Presidência do Governo Regional","Source: Vice-Presidency of the Regional Government")</f>
        <v>Source: Vice-Presidency of the Regional Government</v>
      </c>
      <c r="E47" s="335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C16" sqref="C1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(janeiro-setembro)","TABLE IX - RPEs global balance (january-september)")</f>
        <v>QUADRO IX - Saldo Global do Subsetor - EPR (janeiro-setembro)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2022</v>
      </c>
      <c r="E3" s="173">
        <v>2023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1491.9861400001391</v>
      </c>
      <c r="E5" s="82">
        <v>6893.4343899998348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Fonte: Secretaria Regional das Finanças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C46" sqref="C4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(janeiro-setembro)","TABLE X - ASFs and RPEs budget execution (january-september)")</f>
        <v>QUADRO X - Execução orçamental dos Serviços e Fundos Autónomos e EPR (janeiro-setembro)</v>
      </c>
      <c r="D2" s="337"/>
      <c r="E2" s="337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11171.31810000015</v>
      </c>
      <c r="E4" s="98">
        <v>6893.4343899998348</v>
      </c>
      <c r="F4" s="98">
        <v>18064.752489999984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371195.41238000005</v>
      </c>
      <c r="E7" s="74">
        <v>265386.30222000013</v>
      </c>
      <c r="F7" s="74">
        <v>636581.71460000018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11309.596000000149</v>
      </c>
      <c r="E8" s="74">
        <v>11135.447239999834</v>
      </c>
      <c r="F8" s="74">
        <v>22445.043239999985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11491.764410000178</v>
      </c>
      <c r="E9" s="74">
        <v>6104.7332599998626</v>
      </c>
      <c r="F9" s="74">
        <v>17596.49767000007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-320.44630999999936</v>
      </c>
      <c r="E10" s="74">
        <v>788.70113000000129</v>
      </c>
      <c r="F10" s="74">
        <v>468.25482000000193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Fonte: Secretaria Regional das Finanças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C46" sqref="C4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(janeiro-setembro)","TABLE XI - ASFs and RPEs budget execution (january-september)")</f>
        <v>QUADRO XI - Execução orçamental dos Serviços e Fundos Autónomos e EPR (janeiro-setembro)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362628.20234000019</v>
      </c>
      <c r="E4" s="108">
        <v>252206.39519999997</v>
      </c>
      <c r="F4" s="108">
        <v>614834.59754000022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3018.1040200000011</v>
      </c>
      <c r="E8" s="74">
        <v>6317.6663099999987</v>
      </c>
      <c r="F8" s="74">
        <v>9335.7703299999994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355558.45378000016</v>
      </c>
      <c r="E9" s="74">
        <v>220146.33146999998</v>
      </c>
      <c r="F9" s="74">
        <v>575704.78525000019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24500.823120000001</v>
      </c>
      <c r="E10" s="74">
        <v>2233.6568199999997</v>
      </c>
      <c r="F10" s="74">
        <v>26734.479940000001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329992.89682000014</v>
      </c>
      <c r="E11" s="74">
        <v>217128.45042999997</v>
      </c>
      <c r="F11" s="74">
        <v>547121.34725000011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3057.5276499999995</v>
      </c>
      <c r="E12" s="74">
        <v>11006.010450000002</v>
      </c>
      <c r="F12" s="74">
        <v>14063.538100000002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994.11689000000001</v>
      </c>
      <c r="E13" s="74">
        <v>14736.386970000001</v>
      </c>
      <c r="F13" s="74">
        <v>15730.503860000001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19876.806040000003</v>
      </c>
      <c r="E14" s="83">
        <v>24315.354259999996</v>
      </c>
      <c r="F14" s="83">
        <v>44192.160300000003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299.51698000000005</v>
      </c>
      <c r="F15" s="34">
        <v>299.51698000000005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19810.655550000003</v>
      </c>
      <c r="E16" s="34">
        <v>23975.938749999998</v>
      </c>
      <c r="F16" s="74">
        <v>43786.594299999997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7783.4501700000001</v>
      </c>
      <c r="E17" s="34">
        <v>12789.44549</v>
      </c>
      <c r="F17" s="74">
        <v>20572.895660000002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12027.205380000003</v>
      </c>
      <c r="E18" s="74">
        <v>11186.493259999997</v>
      </c>
      <c r="F18" s="74">
        <v>23213.698640000002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17.662479999999999</v>
      </c>
      <c r="F19" s="74">
        <v>17.662479999999999</v>
      </c>
    </row>
    <row r="20" spans="2:6" ht="11.25" customHeight="1">
      <c r="C20" s="110" t="str">
        <f>+IF(Índice!$D$2=1,"Receita efetiva","Effective revenue")</f>
        <v>Receita efetiva</v>
      </c>
      <c r="D20" s="83">
        <v>382505.00838000019</v>
      </c>
      <c r="E20" s="83">
        <v>276521.74945999996</v>
      </c>
      <c r="F20" s="83">
        <v>659026.75784000009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351136.43793000001</v>
      </c>
      <c r="E22" s="83">
        <v>246101.66194000011</v>
      </c>
      <c r="F22" s="83">
        <v>597238.09987000015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36848.181790000031</v>
      </c>
      <c r="E23" s="74">
        <v>177008.04099000007</v>
      </c>
      <c r="F23" s="74">
        <v>213856.2227800001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75341.344799999992</v>
      </c>
      <c r="E24" s="74">
        <v>53396.617290000024</v>
      </c>
      <c r="F24" s="74">
        <v>128737.96209000002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138.27789999999999</v>
      </c>
      <c r="E25" s="74">
        <v>4242.0128499999983</v>
      </c>
      <c r="F25" s="74">
        <v>4380.2907499999983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234703.33958</v>
      </c>
      <c r="E26" s="74">
        <v>9768.1014500000019</v>
      </c>
      <c r="F26" s="74">
        <v>244471.44102999999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1697.6411499999999</v>
      </c>
      <c r="E27" s="74">
        <v>0</v>
      </c>
      <c r="F27" s="59">
        <v>1697.6411499999999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233005.69842999999</v>
      </c>
      <c r="E28" s="74">
        <v>9768.1014500000019</v>
      </c>
      <c r="F28" s="59">
        <v>242773.79988000001</v>
      </c>
    </row>
    <row r="29" spans="2:6" ht="11.25" customHeight="1">
      <c r="C29" s="104" t="str">
        <f>+IF(Índice!$D$2=1,"Subsídios","Subsidies")</f>
        <v>Subsídios</v>
      </c>
      <c r="D29" s="74">
        <v>3982.0838499999995</v>
      </c>
      <c r="E29" s="74">
        <v>0.80500000000000005</v>
      </c>
      <c r="F29" s="74">
        <v>3982.8888499999994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123.21001000000001</v>
      </c>
      <c r="E30" s="74">
        <v>1686.0843600000001</v>
      </c>
      <c r="F30" s="74">
        <v>1809.2943700000001</v>
      </c>
    </row>
    <row r="31" spans="2:6" ht="11.25" customHeight="1">
      <c r="C31" s="110" t="str">
        <f>+IF(Índice!$D$2=1,"Despesa de capital","Capital expenditure")</f>
        <v>Despesa de capital</v>
      </c>
      <c r="D31" s="83">
        <v>20197.252350000002</v>
      </c>
      <c r="E31" s="83">
        <v>23526.653129999995</v>
      </c>
      <c r="F31" s="83">
        <v>43723.905480000001</v>
      </c>
    </row>
    <row r="32" spans="2:6" ht="11.25" customHeight="1">
      <c r="C32" s="104" t="str">
        <f>+IF(Índice!$D$2=1,"Investimento","Investment")</f>
        <v>Investimento</v>
      </c>
      <c r="D32" s="74">
        <v>3349.8504700000003</v>
      </c>
      <c r="E32" s="74">
        <v>23264.058289999994</v>
      </c>
      <c r="F32" s="74">
        <v>26613.908759999995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16839.146270000001</v>
      </c>
      <c r="E33" s="74">
        <v>262.59484000000003</v>
      </c>
      <c r="F33" s="74">
        <v>17101.741110000003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8.2556100000000008</v>
      </c>
      <c r="E34" s="59">
        <v>0</v>
      </c>
      <c r="F34" s="59">
        <v>8.2556100000000008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371333.69028000004</v>
      </c>
      <c r="E36" s="83">
        <v>269628.31507000013</v>
      </c>
      <c r="F36" s="83">
        <v>640962.00535000023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5236.1899800000001</v>
      </c>
      <c r="E38" s="35">
        <v>980.41808999999989</v>
      </c>
      <c r="F38" s="35">
        <v>6216.6080700000002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12905.31582</v>
      </c>
      <c r="F39" s="35">
        <v>12905.31582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8.2556100000000008</v>
      </c>
      <c r="E40" s="35">
        <v>0</v>
      </c>
      <c r="F40" s="35">
        <v>8.2556100000000008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11171.31810000015</v>
      </c>
      <c r="E44" s="114">
        <v>6893.4343899998348</v>
      </c>
      <c r="F44" s="114">
        <v>18064.752489999984</v>
      </c>
    </row>
    <row r="45" spans="3:6" ht="15" customHeight="1">
      <c r="C45" s="335" t="str">
        <f>+IF(Índice!$D$2=1,"Fonte: Secretaria Regional das Finanças","Source: Regional Finance Secretariat")</f>
        <v>Fonte: Secretaria Regional das Finanças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C46" sqref="C4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(setembro)","TABLE XII - ASFs and RPEs budget execution (september)")</f>
        <v>QUADRO XII - Execução orçamental dos Serviços e Fundos Autónomos e EPR (setembro)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+IF(Índice!$D$2=1,"setembro 2023","september 2023")</f>
        <v>setembro 2023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33326.833870000257</v>
      </c>
      <c r="E5" s="317">
        <v>24728.537029999952</v>
      </c>
      <c r="F5" s="317">
        <v>58055.370900000213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33326.833870000257</v>
      </c>
      <c r="E9" s="74">
        <v>24728.537029999952</v>
      </c>
      <c r="F9" s="74">
        <v>58055.370900000213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32311.770610000254</v>
      </c>
      <c r="E10" s="74">
        <v>22428.170209999949</v>
      </c>
      <c r="F10" s="74">
        <v>54739.940820000207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1242.4920700000062</v>
      </c>
      <c r="E11" s="83">
        <v>3676.428720000004</v>
      </c>
      <c r="F11" s="83">
        <v>4918.9207900000101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172.01902000000001</v>
      </c>
      <c r="F12" s="34">
        <v>172.01902000000001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1239.6295600000062</v>
      </c>
      <c r="E13" s="34">
        <v>3500.8025000000039</v>
      </c>
      <c r="F13" s="74">
        <v>4740.4320600000101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34569.325940000264</v>
      </c>
      <c r="E15" s="83">
        <v>28404.965749999956</v>
      </c>
      <c r="F15" s="83">
        <v>62974.291690000216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33030.625860000051</v>
      </c>
      <c r="E17" s="83">
        <v>24888.543780000236</v>
      </c>
      <c r="F17" s="83">
        <v>57919.169640000284</v>
      </c>
    </row>
    <row r="18" spans="3:6" ht="11.25" customHeight="1">
      <c r="C18" s="104" t="str">
        <f>+IF(Índice!$D$2=1,"Consumo público","Public consumption")</f>
        <v>Consumo público</v>
      </c>
      <c r="D18" s="74">
        <v>8737.9028300000937</v>
      </c>
      <c r="E18" s="74">
        <v>23608.560830000242</v>
      </c>
      <c r="F18" s="74">
        <v>32346.463660000336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3662.8716400000303</v>
      </c>
      <c r="E19" s="74">
        <v>19269.266710000247</v>
      </c>
      <c r="F19" s="74">
        <v>22932.138350000278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5075.0311900000643</v>
      </c>
      <c r="E20" s="74">
        <v>4339.294119999995</v>
      </c>
      <c r="F20" s="74">
        <v>9414.3253100000584</v>
      </c>
    </row>
    <row r="21" spans="3:6" ht="11.25" customHeight="1">
      <c r="C21" s="104" t="str">
        <f>+IF(Índice!$D$2=1,"Subsídios","Subsidies")</f>
        <v>Subsídios</v>
      </c>
      <c r="D21" s="74">
        <v>475.9568799999999</v>
      </c>
      <c r="E21" s="74">
        <v>0</v>
      </c>
      <c r="F21" s="74">
        <v>475.9568799999999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9.5109999999986025E-2</v>
      </c>
      <c r="E22" s="74">
        <v>195.60633999999891</v>
      </c>
      <c r="F22" s="59">
        <v>195.70144999999889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23816.671039999961</v>
      </c>
      <c r="E23" s="74">
        <v>1084.3766099999975</v>
      </c>
      <c r="F23" s="59">
        <v>24901.047649999957</v>
      </c>
    </row>
    <row r="24" spans="3:6" ht="11.25" customHeight="1">
      <c r="C24" s="110" t="str">
        <f>+IF(Índice!$D$2=1,"Despesa de capital","Capital expenditure")</f>
        <v>Despesa de capital</v>
      </c>
      <c r="D24" s="83">
        <v>1935.2535700000035</v>
      </c>
      <c r="E24" s="83">
        <v>5702.2417900000073</v>
      </c>
      <c r="F24" s="83">
        <v>7637.4953600000108</v>
      </c>
    </row>
    <row r="25" spans="3:6" ht="11.25" customHeight="1">
      <c r="C25" s="104" t="str">
        <f>+IF(Índice!$D$2=1,"Investimento","Investment")</f>
        <v>Investimento</v>
      </c>
      <c r="D25" s="74">
        <v>1026.1997200000003</v>
      </c>
      <c r="E25" s="74">
        <v>5496.8602700000074</v>
      </c>
      <c r="F25" s="74">
        <v>6523.0599900000079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909.05385000000331</v>
      </c>
      <c r="E26" s="74">
        <v>205.38152000000002</v>
      </c>
      <c r="F26" s="74">
        <v>1114.4353700000033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34965.879430000052</v>
      </c>
      <c r="E29" s="83">
        <v>30590.785570000244</v>
      </c>
      <c r="F29" s="83">
        <v>65556.665000000299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-396.55348999978742</v>
      </c>
      <c r="E31" s="319">
        <v>-2185.819820000288</v>
      </c>
      <c r="F31" s="319">
        <v>-2582.3733100000754</v>
      </c>
    </row>
    <row r="32" spans="3:6" ht="15" customHeight="1">
      <c r="C32" s="335" t="str">
        <f>+IF(Índice!$D$2=1,"Fonte: Secretaria Regional das Finanças","Source: Regional Finance Secretariat")</f>
        <v>Fonte: Secretaria Regional das Finanças</v>
      </c>
      <c r="D32" s="335"/>
      <c r="E32" s="335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5" zoomScale="120" zoomScaleNormal="120" zoomScaleSheetLayoutView="100" zoomScalePageLayoutView="150" workbookViewId="0">
      <selection activeCell="C46" sqref="C4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setembro de 2023 (valores acumulados)","Table XIII- Accounts payable of the Regional Administration, september (accumulated)")</f>
        <v>QUADRO XIII - Contas a pagar, da Administração Regional, no final de setembro de 2023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8" t="s">
        <v>7</v>
      </c>
      <c r="D3" s="339" t="str">
        <f>+IF(Índice!$D$2=1,"setembro 2023","september 2023")</f>
        <v>setembro 2023</v>
      </c>
      <c r="E3" s="339" t="str">
        <f>+IF(Índice!$D$2="PT","janeiro 2020","January")</f>
        <v>January</v>
      </c>
      <c r="F3" s="339" t="str">
        <f>+IF(Índice!$D$2="PT","janeiro 2020","January")</f>
        <v>January</v>
      </c>
      <c r="G3" s="340" t="str">
        <f>+IF(Índice!$D$2=1,"Variação face ao stock inicial de janeiro","Change from period initial stock")</f>
        <v>Variação face ao stock inicial de janeiro</v>
      </c>
      <c r="H3" s="341"/>
      <c r="I3" s="341"/>
    </row>
    <row r="4" spans="2:11" ht="12.75" customHeight="1">
      <c r="C4" s="338"/>
      <c r="D4" s="342" t="str">
        <f>+IF(Índice!$D$2=1,"Stock final do período","Accumulated")</f>
        <v>Stock final do período</v>
      </c>
      <c r="E4" s="342"/>
      <c r="F4" s="342"/>
      <c r="G4" s="343" t="str">
        <f>+IF(Índice!$D$2=1,"Passivo","Liabilities")</f>
        <v>Passivo</v>
      </c>
      <c r="H4" s="343" t="str">
        <f>+IF(Índice!$D$2=1,"Contas a pagar","Accounts payable")</f>
        <v>Contas a pagar</v>
      </c>
      <c r="I4" s="345" t="str">
        <f>+IF(Índice!$D$2=1,"Pagamentos em atraso","Late payments")</f>
        <v>Pagamentos em atraso</v>
      </c>
    </row>
    <row r="5" spans="2:11" ht="22.5">
      <c r="B5" s="29"/>
      <c r="C5" s="338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4"/>
      <c r="H5" s="344"/>
      <c r="I5" s="346"/>
    </row>
    <row r="6" spans="2:11">
      <c r="B6" s="29"/>
      <c r="C6" s="119" t="str">
        <f>+IF(Índice!$D$2=1,"Despesa corrente","Current expenditure")</f>
        <v>Despesa corrente</v>
      </c>
      <c r="D6" s="162">
        <v>127775436.37999979</v>
      </c>
      <c r="E6" s="162">
        <v>115304401.21999981</v>
      </c>
      <c r="F6" s="162">
        <v>28962936.280000024</v>
      </c>
      <c r="G6" s="91">
        <v>0.10915177347267768</v>
      </c>
      <c r="H6" s="91">
        <v>8.8710196719287593E-2</v>
      </c>
      <c r="I6" s="116">
        <v>0.86607116029682096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5514274.8299999991</v>
      </c>
      <c r="E7" s="165">
        <v>4758593.6399999987</v>
      </c>
      <c r="F7" s="165">
        <v>1216.8499999999999</v>
      </c>
      <c r="G7" s="95">
        <v>4.2050465536776667</v>
      </c>
      <c r="H7" s="95">
        <v>8.1671345630851633</v>
      </c>
      <c r="I7" s="121">
        <v>-0.86224303234008537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91686364.96999979</v>
      </c>
      <c r="E8" s="165">
        <v>91080146.449999779</v>
      </c>
      <c r="F8" s="165">
        <v>27376074.750000022</v>
      </c>
      <c r="G8" s="95">
        <v>0.42058960875439477</v>
      </c>
      <c r="H8" s="95">
        <v>0.42903531930470318</v>
      </c>
      <c r="I8" s="121">
        <v>0.82610664707321635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13502798.280000001</v>
      </c>
      <c r="E9" s="165">
        <v>7146496.0900000017</v>
      </c>
      <c r="F9" s="165">
        <v>322043.5500000001</v>
      </c>
      <c r="G9" s="95">
        <v>0.21469317731895221</v>
      </c>
      <c r="H9" s="95">
        <v>0.49526138508783624</v>
      </c>
      <c r="I9" s="121">
        <v>-0.13455070175221695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16789240.289999999</v>
      </c>
      <c r="E10" s="165">
        <v>12040875.710000001</v>
      </c>
      <c r="F10" s="165">
        <v>1263563.53</v>
      </c>
      <c r="G10" s="95">
        <v>-0.5598645061238936</v>
      </c>
      <c r="H10" s="95">
        <v>-0.67050215963216475</v>
      </c>
      <c r="I10" s="121">
        <v>7.5170383092422579</v>
      </c>
    </row>
    <row r="11" spans="2:11">
      <c r="B11" s="29"/>
      <c r="C11" s="120" t="str">
        <f>+IF(Índice!$D$2=1,"Subsídios","Subsidies")</f>
        <v>Subsídios</v>
      </c>
      <c r="D11" s="165">
        <v>143771.76</v>
      </c>
      <c r="E11" s="165">
        <v>143711.76</v>
      </c>
      <c r="F11" s="165">
        <v>0</v>
      </c>
      <c r="G11" s="95">
        <v>-0.54361679059523715</v>
      </c>
      <c r="H11" s="95">
        <v>-0.54380725214738257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138986.25</v>
      </c>
      <c r="E12" s="165">
        <v>134577.57</v>
      </c>
      <c r="F12" s="165">
        <v>37.6</v>
      </c>
      <c r="G12" s="95">
        <v>4.8639063639804085</v>
      </c>
      <c r="H12" s="95">
        <v>6.8630623377169719</v>
      </c>
      <c r="I12" s="121">
        <v>2.7600000000000002</v>
      </c>
    </row>
    <row r="13" spans="2:11">
      <c r="B13" s="29"/>
      <c r="C13" s="115" t="str">
        <f>+IF(Índice!$D$2=1,"Despesa de capital","Capital expenditure")</f>
        <v>Despesa de capital</v>
      </c>
      <c r="D13" s="163">
        <v>46235970.980000004</v>
      </c>
      <c r="E13" s="163">
        <v>30359887.520000003</v>
      </c>
      <c r="F13" s="163">
        <v>30189.159999999996</v>
      </c>
      <c r="G13" s="92">
        <v>-8.5547581215120849E-2</v>
      </c>
      <c r="H13" s="92">
        <v>-0.11562625984217734</v>
      </c>
      <c r="I13" s="117">
        <v>-0.9663545821519588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23449495.82</v>
      </c>
      <c r="E14" s="165">
        <v>14367538.57</v>
      </c>
      <c r="F14" s="165">
        <v>30189.159999999996</v>
      </c>
      <c r="G14" s="95">
        <v>-0.21335521344680763</v>
      </c>
      <c r="H14" s="95">
        <v>-0.28071575124364956</v>
      </c>
      <c r="I14" s="121">
        <v>-0.9663545821519588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22786475.159999996</v>
      </c>
      <c r="E15" s="165">
        <v>15992348.950000001</v>
      </c>
      <c r="F15" s="165">
        <v>0</v>
      </c>
      <c r="G15" s="95">
        <v>9.8044741861239348E-2</v>
      </c>
      <c r="H15" s="95">
        <v>0.11410168334109527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174011407.35999978</v>
      </c>
      <c r="E17" s="164">
        <v>145664288.7399998</v>
      </c>
      <c r="F17" s="164">
        <v>28993125.440000024</v>
      </c>
      <c r="G17" s="147">
        <v>4.9763961945267887E-2</v>
      </c>
      <c r="H17" s="147">
        <v>3.8690259313865161E-2</v>
      </c>
      <c r="I17" s="148">
        <v>0.76592622097907315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113700534.59999999</v>
      </c>
      <c r="E19" s="164">
        <v>85464149.01000002</v>
      </c>
      <c r="F19" s="164">
        <v>3437680.8899999987</v>
      </c>
      <c r="G19" s="147">
        <v>-6.2079731797996085E-2</v>
      </c>
      <c r="H19" s="147">
        <v>-0.10709507675384355</v>
      </c>
      <c r="I19" s="148">
        <v>0.55730769235996003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setembro de 2023 (valores acumulados)","Table XIV - Accounts payable of the Regional Gov., september (accumulated)")</f>
        <v>QUADRO XIV - Contas a pagar, do Governo Regional, no final de setembro de 2023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8" t="str">
        <f>+IF(Índice!$D$2=1,"Governo Regional","Regional Government")</f>
        <v>Governo Regional</v>
      </c>
      <c r="D24" s="339" t="str">
        <f>+IF(Índice!$D$2=1,"setembro 2023","september 2023")</f>
        <v>setembro 2023</v>
      </c>
      <c r="E24" s="339" t="str">
        <f>+IF(Índice!$D$2="PT","janeiro 2020","January")</f>
        <v>January</v>
      </c>
      <c r="F24" s="339" t="str">
        <f>+IF(Índice!$D$2="PT","janeiro 2020","January")</f>
        <v>January</v>
      </c>
      <c r="G24" s="340" t="str">
        <f>+IF(Índice!$D$2=1,"Variação face ao stock inicial de janeiro","Change from january initial stock")</f>
        <v>Variação face ao stock inicial de janeiro</v>
      </c>
      <c r="H24" s="341"/>
      <c r="I24" s="341"/>
    </row>
    <row r="25" spans="2:9" ht="22.5" customHeight="1">
      <c r="B25" s="29"/>
      <c r="C25" s="338"/>
      <c r="D25" s="342" t="str">
        <f>+IF(Índice!$D$2=1,"Stock final do período","Accumulated")</f>
        <v>Stock final do período</v>
      </c>
      <c r="E25" s="342"/>
      <c r="F25" s="342"/>
      <c r="G25" s="343" t="str">
        <f>+IF(Índice!$D$2=1,"Passivo","Liabilities")</f>
        <v>Passivo</v>
      </c>
      <c r="H25" s="343" t="str">
        <f>+IF(Índice!$D$2=1,"Contas a pagar","Accounts payable")</f>
        <v>Contas a pagar</v>
      </c>
      <c r="I25" s="345" t="str">
        <f>+IF(Índice!$D$2=1,"Pagamentos em atraso","Late payments")</f>
        <v>Pagamentos em atraso</v>
      </c>
    </row>
    <row r="26" spans="2:9" ht="22.5">
      <c r="B26" s="29"/>
      <c r="C26" s="338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4"/>
      <c r="H26" s="344"/>
      <c r="I26" s="346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40243530.140000001</v>
      </c>
      <c r="E27" s="162">
        <v>32602970.870000001</v>
      </c>
      <c r="F27" s="162">
        <v>1061100.98</v>
      </c>
      <c r="G27" s="91">
        <v>2.4750493800144731</v>
      </c>
      <c r="H27" s="91">
        <v>3.5280907743250607</v>
      </c>
      <c r="I27" s="116">
        <v>-4.9589347471183931E-2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30924800.559999999</v>
      </c>
      <c r="E28" s="163">
        <v>23844603.880000003</v>
      </c>
      <c r="F28" s="163">
        <v>630</v>
      </c>
      <c r="G28" s="92">
        <v>-0.193700821993536</v>
      </c>
      <c r="H28" s="172">
        <v>-0.22680393346162886</v>
      </c>
      <c r="I28" s="117">
        <v>0</v>
      </c>
    </row>
    <row r="29" spans="2:9" ht="20.100000000000001" customHeight="1">
      <c r="B29" s="29"/>
      <c r="C29" s="146" t="s">
        <v>7</v>
      </c>
      <c r="D29" s="164">
        <v>71168330.700000003</v>
      </c>
      <c r="E29" s="164">
        <v>56447574.75</v>
      </c>
      <c r="F29" s="164">
        <v>1061730.98</v>
      </c>
      <c r="G29" s="147">
        <v>0.42522768314974968</v>
      </c>
      <c r="H29" s="147">
        <v>0.48393279925833399</v>
      </c>
      <c r="I29" s="148">
        <v>-4.9561380944779909E-2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setembro de 2023 (valores acumulados)","Table XV - Accounts payable of the ASFs, september (accumulated)")</f>
        <v>QUADRO XV - Contas a pagar, dos Serviços e Fundos Autónomos, no final de setembro de 2023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7" t="str">
        <f>+IF(Índice!$D$2=1,"Serviços e Fundos Autónomos","Autonomous Services and Funds")</f>
        <v>Serviços e Fundos Autónomos</v>
      </c>
      <c r="D33" s="339" t="str">
        <f>+IF(Índice!$D$2=1,"setembro 2023","september 2023")</f>
        <v>setembro 2023</v>
      </c>
      <c r="E33" s="339" t="str">
        <f>+IF(Índice!$D$2="PT","janeiro 2020","January")</f>
        <v>January</v>
      </c>
      <c r="F33" s="339" t="str">
        <f>+IF(Índice!$D$2="PT","janeiro 2020","January")</f>
        <v>January</v>
      </c>
      <c r="G33" s="340" t="str">
        <f>+IF(Índice!$D$2=1,"Variação face ao stock inicial de janeiro","Change from january initial stock")</f>
        <v>Variação face ao stock inicial de janeiro</v>
      </c>
      <c r="H33" s="341"/>
      <c r="I33" s="341"/>
    </row>
    <row r="34" spans="2:9" ht="12.75" customHeight="1">
      <c r="C34" s="348"/>
      <c r="D34" s="350" t="str">
        <f>+IF(Índice!$D$2=1,"Stock final do período","Accumulated")</f>
        <v>Stock final do período</v>
      </c>
      <c r="E34" s="351"/>
      <c r="F34" s="352"/>
      <c r="G34" s="353" t="str">
        <f>+IF(Índice!$D$2=1,"Passivo","Liabilities")</f>
        <v>Passivo</v>
      </c>
      <c r="H34" s="353" t="str">
        <f>+IF(Índice!$D$2=1,"Contas a pagar","Accounts payable")</f>
        <v>Contas a pagar</v>
      </c>
      <c r="I34" s="345" t="str">
        <f>+IF(Índice!$D$2=1,"Pagamentos em atraso","Late payments")</f>
        <v>Pagamentos em atraso</v>
      </c>
    </row>
    <row r="35" spans="2:9" ht="22.5">
      <c r="C35" s="349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4"/>
      <c r="H35" s="344"/>
      <c r="I35" s="346"/>
    </row>
    <row r="36" spans="2:9" ht="20.100000000000001" customHeight="1">
      <c r="C36" s="115" t="str">
        <f>+IF(Índice!$D$2=1,"Despesa corrente","Current expenditure")</f>
        <v>Despesa corrente</v>
      </c>
      <c r="D36" s="162">
        <v>24120100.02</v>
      </c>
      <c r="E36" s="162">
        <v>23586974.950000003</v>
      </c>
      <c r="F36" s="162">
        <v>2375949.91</v>
      </c>
      <c r="G36" s="91">
        <v>-0.54916444961244726</v>
      </c>
      <c r="H36" s="91">
        <v>-0.55375775264075788</v>
      </c>
      <c r="I36" s="116">
        <v>1.1790598462697734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393260.94</v>
      </c>
      <c r="E37" s="163">
        <v>393260.94</v>
      </c>
      <c r="F37" s="163">
        <v>0</v>
      </c>
      <c r="G37" s="92">
        <v>-0.12432266043170581</v>
      </c>
      <c r="H37" s="92">
        <v>-0.12432266043170581</v>
      </c>
      <c r="I37" s="117">
        <v>0</v>
      </c>
    </row>
    <row r="38" spans="2:9" ht="20.100000000000001" customHeight="1">
      <c r="C38" s="146" t="s">
        <v>7</v>
      </c>
      <c r="D38" s="164">
        <v>24513360.960000001</v>
      </c>
      <c r="E38" s="164">
        <v>23980235.890000004</v>
      </c>
      <c r="F38" s="164">
        <v>2375949.91</v>
      </c>
      <c r="G38" s="147">
        <v>-0.54562795767969974</v>
      </c>
      <c r="H38" s="147">
        <v>-0.55013983799345723</v>
      </c>
      <c r="I38" s="148">
        <v>1.1790598462697734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setembro de 2023 (valores acumulados)","Table XVI - Accounts payable of the RPEs, september (accumulated)")</f>
        <v>QUADRO XVI - Contas a pagar, das Entidades Públicas Reclassseicadas, no final de setembro de 2023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7" t="str">
        <f>+IF(Índice!$D$2=1,"Entidades Públicas Reclassseicadas","Reclassseied Public Entities")</f>
        <v>Entidades Públicas Reclassseicadas</v>
      </c>
      <c r="D42" s="339" t="str">
        <f>+IF(Índice!$D$2=1,"setembro 2023","september 2023")</f>
        <v>setembro 2023</v>
      </c>
      <c r="E42" s="339" t="str">
        <f>+IF(Índice!$D$2="PT","janeiro 2020","January")</f>
        <v>January</v>
      </c>
      <c r="F42" s="339" t="str">
        <f>+IF(Índice!$D$2="PT","janeiro 2020","January")</f>
        <v>January</v>
      </c>
      <c r="G42" s="340" t="str">
        <f>+IF(Índice!$D$2=1,"Variação face ao stock inicial de janeiro","Change from january initial stock")</f>
        <v>Variação face ao stock inicial de janeiro</v>
      </c>
      <c r="H42" s="341"/>
      <c r="I42" s="341"/>
    </row>
    <row r="43" spans="2:9" ht="12.75" customHeight="1">
      <c r="C43" s="348"/>
      <c r="D43" s="350" t="str">
        <f>+IF(Índice!$D$2=1,"Stock final do período","Accumulated")</f>
        <v>Stock final do período</v>
      </c>
      <c r="E43" s="351"/>
      <c r="F43" s="352"/>
      <c r="G43" s="343" t="str">
        <f>+IF(Índice!$D$2=1,"Passivo","Liabilities")</f>
        <v>Passivo</v>
      </c>
      <c r="H43" s="343" t="str">
        <f>+IF(Índice!$D$2=1,"Contas a pagar","Accounts payable")</f>
        <v>Contas a pagar</v>
      </c>
      <c r="I43" s="345" t="str">
        <f>+IF(Índice!$D$2=1,"Pagamentos em atraso","Late payments")</f>
        <v>Pagamentos em atraso</v>
      </c>
    </row>
    <row r="44" spans="2:9" ht="22.5">
      <c r="C44" s="349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4"/>
      <c r="H44" s="344"/>
      <c r="I44" s="346"/>
    </row>
    <row r="45" spans="2:9" ht="20.100000000000001" customHeight="1">
      <c r="C45" s="115" t="str">
        <f>+IF(Índice!$D$2=1,"Despesa corrente","Current expenditure")</f>
        <v>Despesa corrente</v>
      </c>
      <c r="D45" s="162">
        <v>63411806.219999798</v>
      </c>
      <c r="E45" s="162">
        <v>59114455.399999797</v>
      </c>
      <c r="F45" s="162">
        <v>25525885.390000023</v>
      </c>
      <c r="G45" s="91">
        <v>0.26521357194084283</v>
      </c>
      <c r="H45" s="91">
        <v>0.28924108527500159</v>
      </c>
      <c r="I45" s="116">
        <v>0.91722297508992567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14917909.480000002</v>
      </c>
      <c r="E46" s="163">
        <v>6122022.7000000002</v>
      </c>
      <c r="F46" s="163">
        <v>29559.159999999996</v>
      </c>
      <c r="G46" s="92">
        <v>0.2687154420925062</v>
      </c>
      <c r="H46" s="92">
        <v>1.0130660523784303</v>
      </c>
      <c r="I46" s="117">
        <v>-0.96703356217033465</v>
      </c>
    </row>
    <row r="47" spans="2:9" ht="20.100000000000001" customHeight="1">
      <c r="C47" s="146" t="s">
        <v>7</v>
      </c>
      <c r="D47" s="164">
        <v>78329715.699999794</v>
      </c>
      <c r="E47" s="164">
        <v>65236478.0999998</v>
      </c>
      <c r="F47" s="164">
        <v>25555444.550000023</v>
      </c>
      <c r="G47" s="147">
        <v>0.26587901274773929</v>
      </c>
      <c r="H47" s="147">
        <v>0.33426272585353556</v>
      </c>
      <c r="I47" s="148">
        <v>0.79833260600588996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0"/>
  <sheetViews>
    <sheetView showGridLines="0" topLeftCell="A82" zoomScale="85" zoomScaleNormal="85" workbookViewId="0">
      <selection activeCell="C76" sqref="C76:C108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19</v>
      </c>
      <c r="D10" s="170"/>
      <c r="E10" s="169"/>
    </row>
    <row r="11" spans="2:5">
      <c r="B11" s="195"/>
      <c r="C11" s="170" t="s">
        <v>20</v>
      </c>
      <c r="D11" s="170"/>
      <c r="E11" s="169"/>
    </row>
    <row r="12" spans="2:5">
      <c r="B12" s="195"/>
      <c r="C12" s="170" t="s">
        <v>21</v>
      </c>
      <c r="D12" s="170"/>
      <c r="E12" s="169"/>
    </row>
    <row r="13" spans="2:5">
      <c r="B13" s="195"/>
      <c r="C13" s="170" t="s">
        <v>22</v>
      </c>
      <c r="D13" s="170"/>
      <c r="E13" s="169"/>
    </row>
    <row r="14" spans="2:5">
      <c r="B14" s="195"/>
      <c r="C14" s="170" t="s">
        <v>23</v>
      </c>
      <c r="D14" s="170"/>
      <c r="E14" s="169"/>
    </row>
    <row r="15" spans="2:5">
      <c r="B15" s="195"/>
      <c r="C15" s="170" t="s">
        <v>24</v>
      </c>
      <c r="D15" s="170"/>
      <c r="E15" s="169"/>
    </row>
    <row r="16" spans="2:5">
      <c r="B16" s="195"/>
      <c r="C16" s="170" t="s">
        <v>25</v>
      </c>
      <c r="D16" s="170"/>
      <c r="E16" s="169"/>
    </row>
    <row r="17" spans="2:5">
      <c r="B17" s="195"/>
      <c r="C17" s="170" t="s">
        <v>26</v>
      </c>
      <c r="D17" s="171"/>
      <c r="E17" s="169"/>
    </row>
    <row r="18" spans="2:5">
      <c r="B18" s="195"/>
      <c r="C18" s="170" t="s">
        <v>27</v>
      </c>
      <c r="D18" s="170"/>
      <c r="E18" s="169"/>
    </row>
    <row r="19" spans="2:5">
      <c r="B19" s="195"/>
      <c r="C19" s="170" t="s">
        <v>28</v>
      </c>
      <c r="D19" s="170"/>
      <c r="E19" s="169"/>
    </row>
    <row r="20" spans="2:5">
      <c r="B20" s="195"/>
      <c r="C20" s="170" t="s">
        <v>29</v>
      </c>
      <c r="D20" s="170"/>
      <c r="E20" s="169"/>
    </row>
    <row r="21" spans="2:5">
      <c r="B21" s="195"/>
      <c r="C21" s="170" t="s">
        <v>30</v>
      </c>
      <c r="D21" s="170"/>
      <c r="E21" s="169"/>
    </row>
    <row r="22" spans="2:5">
      <c r="B22" s="195"/>
      <c r="C22" s="170" t="s">
        <v>31</v>
      </c>
      <c r="D22" s="170"/>
      <c r="E22" s="169"/>
    </row>
    <row r="23" spans="2:5">
      <c r="B23" s="195"/>
      <c r="C23" s="170" t="s">
        <v>32</v>
      </c>
      <c r="D23" s="170"/>
      <c r="E23" s="169"/>
    </row>
    <row r="24" spans="2:5">
      <c r="B24" s="195"/>
      <c r="C24" s="170" t="s">
        <v>33</v>
      </c>
      <c r="D24" s="170"/>
      <c r="E24" s="169"/>
    </row>
    <row r="25" spans="2:5">
      <c r="B25" s="195"/>
      <c r="C25" s="170" t="s">
        <v>34</v>
      </c>
      <c r="D25" s="170"/>
      <c r="E25" s="169"/>
    </row>
    <row r="26" spans="2:5">
      <c r="B26" s="195"/>
      <c r="C26" s="170" t="s">
        <v>35</v>
      </c>
      <c r="D26" s="170"/>
      <c r="E26" s="169"/>
    </row>
    <row r="27" spans="2:5">
      <c r="B27" s="195"/>
      <c r="C27" s="170" t="s">
        <v>36</v>
      </c>
      <c r="D27" s="170"/>
      <c r="E27" s="169"/>
    </row>
    <row r="28" spans="2:5">
      <c r="B28" s="195"/>
      <c r="C28" s="170" t="s">
        <v>37</v>
      </c>
      <c r="D28" s="170"/>
      <c r="E28" s="169"/>
    </row>
    <row r="29" spans="2:5">
      <c r="B29" s="55"/>
      <c r="C29" s="170" t="s">
        <v>38</v>
      </c>
      <c r="D29" s="170"/>
      <c r="E29" s="169"/>
    </row>
    <row r="30" spans="2:5">
      <c r="B30" s="55"/>
      <c r="C30" s="170" t="s">
        <v>39</v>
      </c>
      <c r="D30" s="170"/>
      <c r="E30" s="169"/>
    </row>
    <row r="31" spans="2:5">
      <c r="B31" s="55"/>
      <c r="C31" s="170" t="s">
        <v>40</v>
      </c>
      <c r="D31" s="170"/>
      <c r="E31" s="169"/>
    </row>
    <row r="32" spans="2:5">
      <c r="B32" s="55"/>
      <c r="C32" s="170" t="s">
        <v>41</v>
      </c>
      <c r="D32" s="170"/>
      <c r="E32" s="169"/>
    </row>
    <row r="33" spans="2:5">
      <c r="B33" s="55"/>
      <c r="C33" s="170" t="s">
        <v>42</v>
      </c>
      <c r="D33" s="170"/>
      <c r="E33" s="169"/>
    </row>
    <row r="34" spans="2:5">
      <c r="B34" s="55"/>
      <c r="C34" s="170" t="s">
        <v>43</v>
      </c>
      <c r="D34" s="170"/>
      <c r="E34" s="169"/>
    </row>
    <row r="35" spans="2:5">
      <c r="B35" s="55"/>
      <c r="C35" s="170" t="s">
        <v>44</v>
      </c>
      <c r="D35" s="170"/>
      <c r="E35" s="169"/>
    </row>
    <row r="36" spans="2:5">
      <c r="B36" s="55"/>
      <c r="C36" s="170" t="s">
        <v>45</v>
      </c>
      <c r="D36" s="170"/>
      <c r="E36" s="169"/>
    </row>
    <row r="37" spans="2:5">
      <c r="B37" s="55"/>
      <c r="C37" s="171" t="s">
        <v>46</v>
      </c>
      <c r="D37" s="170"/>
      <c r="E37" s="169"/>
    </row>
    <row r="38" spans="2:5">
      <c r="B38" s="55"/>
      <c r="C38" s="170" t="s">
        <v>47</v>
      </c>
      <c r="D38" s="170"/>
      <c r="E38" s="169"/>
    </row>
    <row r="39" spans="2:5">
      <c r="B39" s="55"/>
      <c r="C39" s="170" t="s">
        <v>48</v>
      </c>
      <c r="D39" s="170"/>
      <c r="E39" s="169"/>
    </row>
    <row r="40" spans="2:5">
      <c r="B40" s="55"/>
      <c r="C40" s="170" t="s">
        <v>49</v>
      </c>
      <c r="D40" s="170"/>
      <c r="E40" s="169"/>
    </row>
    <row r="41" spans="2:5">
      <c r="B41" s="55"/>
      <c r="C41" s="171" t="s">
        <v>50</v>
      </c>
      <c r="D41" s="170"/>
      <c r="E41" s="169"/>
    </row>
    <row r="42" spans="2:5">
      <c r="B42" s="55"/>
      <c r="C42" s="170" t="s">
        <v>51</v>
      </c>
      <c r="D42" s="170"/>
      <c r="E42" s="169"/>
    </row>
    <row r="43" spans="2:5">
      <c r="B43" s="55"/>
      <c r="C43" s="170" t="s">
        <v>52</v>
      </c>
      <c r="D43" s="171"/>
      <c r="E43" s="169"/>
    </row>
    <row r="44" spans="2:5">
      <c r="B44" s="55"/>
      <c r="C44" s="170" t="s">
        <v>53</v>
      </c>
      <c r="D44" s="170"/>
      <c r="E44" s="169"/>
    </row>
    <row r="45" spans="2:5">
      <c r="B45" s="55"/>
      <c r="C45" s="170" t="s">
        <v>54</v>
      </c>
      <c r="D45" s="171"/>
      <c r="E45" s="169"/>
    </row>
    <row r="46" spans="2:5">
      <c r="B46" s="55"/>
      <c r="C46" s="170" t="s">
        <v>55</v>
      </c>
      <c r="D46" s="170"/>
      <c r="E46" s="169"/>
    </row>
    <row r="47" spans="2:5">
      <c r="B47" s="55"/>
      <c r="C47" s="170" t="s">
        <v>56</v>
      </c>
      <c r="D47" s="170"/>
      <c r="E47" s="169"/>
    </row>
    <row r="48" spans="2:5">
      <c r="B48" s="55"/>
      <c r="C48" s="171" t="s">
        <v>57</v>
      </c>
      <c r="D48" s="170"/>
      <c r="E48" s="169"/>
    </row>
    <row r="49" spans="2:5">
      <c r="B49" s="55"/>
      <c r="C49" s="170" t="s">
        <v>58</v>
      </c>
      <c r="D49" s="170"/>
      <c r="E49" s="169"/>
    </row>
    <row r="50" spans="2:5">
      <c r="B50" s="55"/>
      <c r="C50" s="170" t="s">
        <v>59</v>
      </c>
      <c r="D50" s="171"/>
      <c r="E50" s="169"/>
    </row>
    <row r="51" spans="2:5">
      <c r="B51" s="55"/>
      <c r="C51" s="171" t="s">
        <v>60</v>
      </c>
      <c r="D51" s="170"/>
      <c r="E51" s="169"/>
    </row>
    <row r="52" spans="2:5">
      <c r="B52" s="55"/>
      <c r="C52" s="170" t="s">
        <v>61</v>
      </c>
      <c r="D52" s="170"/>
      <c r="E52" s="169"/>
    </row>
    <row r="53" spans="2:5">
      <c r="B53" s="55"/>
      <c r="C53" s="170" t="s">
        <v>62</v>
      </c>
      <c r="D53" s="170"/>
      <c r="E53" s="169"/>
    </row>
    <row r="54" spans="2:5">
      <c r="B54" s="55"/>
      <c r="C54" s="170" t="s">
        <v>63</v>
      </c>
      <c r="D54" s="171"/>
      <c r="E54" s="169"/>
    </row>
    <row r="55" spans="2:5">
      <c r="B55" s="55"/>
      <c r="C55" s="170" t="s">
        <v>64</v>
      </c>
    </row>
    <row r="56" spans="2:5">
      <c r="B56" s="55"/>
      <c r="C56" s="171" t="s">
        <v>65</v>
      </c>
    </row>
    <row r="57" spans="2:5">
      <c r="B57" s="55"/>
      <c r="C57" s="170" t="s">
        <v>66</v>
      </c>
    </row>
    <row r="58" spans="2:5">
      <c r="B58" s="55"/>
      <c r="C58" s="170" t="s">
        <v>67</v>
      </c>
    </row>
    <row r="59" spans="2:5">
      <c r="B59" s="55"/>
      <c r="C59" s="171" t="s">
        <v>68</v>
      </c>
    </row>
    <row r="60" spans="2:5">
      <c r="B60" s="55"/>
      <c r="C60" s="170" t="s">
        <v>69</v>
      </c>
    </row>
    <row r="61" spans="2:5">
      <c r="B61" s="55"/>
      <c r="C61" s="170" t="s">
        <v>70</v>
      </c>
    </row>
    <row r="62" spans="2:5">
      <c r="B62" s="55"/>
      <c r="C62" s="170" t="s">
        <v>71</v>
      </c>
    </row>
    <row r="63" spans="2:5">
      <c r="B63" s="55"/>
      <c r="C63" s="171" t="s">
        <v>72</v>
      </c>
    </row>
    <row r="64" spans="2:5">
      <c r="B64" s="55"/>
      <c r="C64" s="170" t="s">
        <v>73</v>
      </c>
    </row>
    <row r="65" spans="2:3">
      <c r="B65" s="55"/>
      <c r="C65" s="170" t="s">
        <v>74</v>
      </c>
    </row>
    <row r="66" spans="2:3">
      <c r="B66" s="55"/>
      <c r="C66" s="171" t="s">
        <v>75</v>
      </c>
    </row>
    <row r="67" spans="2:3">
      <c r="B67" s="55"/>
      <c r="C67" s="170" t="s">
        <v>76</v>
      </c>
    </row>
    <row r="68" spans="2:3">
      <c r="B68" s="55"/>
      <c r="C68" s="170" t="s">
        <v>77</v>
      </c>
    </row>
    <row r="69" spans="2:3">
      <c r="B69" s="55"/>
      <c r="C69" s="170" t="s">
        <v>78</v>
      </c>
    </row>
    <row r="70" spans="2:3">
      <c r="B70" s="55"/>
      <c r="C70" s="170" t="s">
        <v>79</v>
      </c>
    </row>
    <row r="71" spans="2:3">
      <c r="B71" s="55"/>
      <c r="C71" s="170" t="s">
        <v>80</v>
      </c>
    </row>
    <row r="72" spans="2:3">
      <c r="B72" s="55"/>
      <c r="C72" s="275"/>
    </row>
    <row r="73" spans="2:3">
      <c r="B73" s="55"/>
      <c r="C73" s="170"/>
    </row>
    <row r="74" spans="2:3" ht="13.5" customHeight="1">
      <c r="B74" s="55"/>
      <c r="C74" s="275"/>
    </row>
    <row r="75" spans="2:3">
      <c r="B75" s="55"/>
      <c r="C75" s="275"/>
    </row>
    <row r="76" spans="2:3" ht="30.75" customHeight="1">
      <c r="B76" s="16"/>
      <c r="C76" s="321" t="s">
        <v>11</v>
      </c>
    </row>
    <row r="77" spans="2:3">
      <c r="B77" s="55"/>
      <c r="C77" s="171" t="s">
        <v>13</v>
      </c>
    </row>
    <row r="78" spans="2:3">
      <c r="B78" s="55"/>
      <c r="C78" s="170" t="s">
        <v>13</v>
      </c>
    </row>
    <row r="79" spans="2:3">
      <c r="B79" s="55"/>
      <c r="C79" s="171" t="s">
        <v>17</v>
      </c>
    </row>
    <row r="80" spans="2:3">
      <c r="B80" s="55"/>
      <c r="C80" s="170" t="s">
        <v>81</v>
      </c>
    </row>
    <row r="81" spans="2:3">
      <c r="B81" s="55"/>
      <c r="C81" s="170" t="s">
        <v>82</v>
      </c>
    </row>
    <row r="82" spans="2:3">
      <c r="B82" s="55"/>
      <c r="C82" s="170" t="s">
        <v>83</v>
      </c>
    </row>
    <row r="83" spans="2:3">
      <c r="B83" s="55"/>
      <c r="C83" s="170" t="s">
        <v>84</v>
      </c>
    </row>
    <row r="84" spans="2:3">
      <c r="B84" s="55"/>
      <c r="C84" s="170" t="s">
        <v>85</v>
      </c>
    </row>
    <row r="85" spans="2:3">
      <c r="B85" s="55"/>
      <c r="C85" s="171" t="s">
        <v>46</v>
      </c>
    </row>
    <row r="86" spans="2:3">
      <c r="B86" s="55"/>
      <c r="C86" s="170" t="s">
        <v>86</v>
      </c>
    </row>
    <row r="87" spans="2:3">
      <c r="B87" s="55"/>
      <c r="C87" s="170" t="s">
        <v>87</v>
      </c>
    </row>
    <row r="88" spans="2:3">
      <c r="B88" s="55"/>
      <c r="C88" s="171" t="s">
        <v>50</v>
      </c>
    </row>
    <row r="89" spans="2:3">
      <c r="B89" s="55"/>
      <c r="C89" s="170" t="s">
        <v>88</v>
      </c>
    </row>
    <row r="90" spans="2:3">
      <c r="B90" s="55"/>
      <c r="C90" s="170" t="s">
        <v>89</v>
      </c>
    </row>
    <row r="91" spans="2:3">
      <c r="B91" s="55"/>
      <c r="C91" s="170" t="s">
        <v>90</v>
      </c>
    </row>
    <row r="92" spans="2:3">
      <c r="B92" s="55"/>
      <c r="C92" s="170" t="s">
        <v>91</v>
      </c>
    </row>
    <row r="93" spans="2:3">
      <c r="B93" s="55"/>
      <c r="C93" s="171" t="s">
        <v>57</v>
      </c>
    </row>
    <row r="94" spans="2:3">
      <c r="B94" s="55"/>
      <c r="C94" s="170" t="s">
        <v>92</v>
      </c>
    </row>
    <row r="95" spans="2:3">
      <c r="B95" s="55"/>
      <c r="C95" s="171" t="s">
        <v>65</v>
      </c>
    </row>
    <row r="96" spans="2:3">
      <c r="B96" s="55"/>
      <c r="C96" s="170" t="s">
        <v>93</v>
      </c>
    </row>
    <row r="97" spans="2:3">
      <c r="B97" s="55"/>
      <c r="C97" s="171" t="s">
        <v>94</v>
      </c>
    </row>
    <row r="98" spans="2:3">
      <c r="B98" s="55"/>
      <c r="C98" s="170" t="s">
        <v>95</v>
      </c>
    </row>
    <row r="99" spans="2:3">
      <c r="B99" s="55"/>
      <c r="C99" s="171" t="s">
        <v>72</v>
      </c>
    </row>
    <row r="100" spans="2:3">
      <c r="B100" s="55"/>
      <c r="C100" s="170" t="s">
        <v>96</v>
      </c>
    </row>
    <row r="101" spans="2:3">
      <c r="B101" s="55"/>
      <c r="C101" s="170" t="s">
        <v>97</v>
      </c>
    </row>
    <row r="102" spans="2:3">
      <c r="B102" s="55"/>
      <c r="C102" s="171" t="s">
        <v>75</v>
      </c>
    </row>
    <row r="103" spans="2:3">
      <c r="B103" s="55"/>
      <c r="C103" s="170" t="s">
        <v>98</v>
      </c>
    </row>
    <row r="104" spans="2:3">
      <c r="B104" s="55"/>
      <c r="C104" s="170" t="s">
        <v>99</v>
      </c>
    </row>
    <row r="105" spans="2:3">
      <c r="B105" s="55"/>
      <c r="C105" s="170" t="s">
        <v>100</v>
      </c>
    </row>
    <row r="106" spans="2:3">
      <c r="C106" s="170" t="s">
        <v>101</v>
      </c>
    </row>
    <row r="107" spans="2:3">
      <c r="C107" s="170" t="s">
        <v>102</v>
      </c>
    </row>
    <row r="108" spans="2:3">
      <c r="C108" s="290"/>
    </row>
    <row r="109" spans="2:3">
      <c r="C109" s="322"/>
    </row>
    <row r="110" spans="2:3">
      <c r="C110" s="323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C11" sqref="C11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(janeiro-setembro)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(janeiro-setembro)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(setembro)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(janeiro-setembro)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(janeiro-setembro)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(janeiro-setembro)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(janeiro-setembro)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(janeiro-setembro)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(janeiro-setembro)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(janeiro-setembro)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(janeiro-setembro)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(setembro)</v>
      </c>
      <c r="B14" s="217"/>
      <c r="C14" s="217"/>
      <c r="D14" s="217"/>
    </row>
    <row r="15" spans="1:25" s="179" customFormat="1" ht="20.100000000000001" customHeight="1">
      <c r="A15" s="284" t="str">
        <f>+Q_11_12_13_14_Compromissos!C2</f>
        <v>QUADRO XIII - Contas a pagar, da Administração Regional, no final de setembro de 2023 (valores acumulados)</v>
      </c>
      <c r="B15" s="285"/>
      <c r="C15" s="285"/>
      <c r="D15" s="285"/>
    </row>
    <row r="16" spans="1:25" s="179" customFormat="1" ht="20.100000000000001" customHeight="1">
      <c r="A16" s="284" t="str">
        <f>+Q_11_12_13_14_Compromissos!C23</f>
        <v>QUADRO XIV - Contas a pagar, do Governo Regional, no final de setembro de 2023 (valores acumulados)</v>
      </c>
      <c r="B16" s="285"/>
      <c r="C16" s="285"/>
      <c r="D16" s="285"/>
    </row>
    <row r="17" spans="1:4" s="179" customFormat="1" ht="20.100000000000001" customHeight="1">
      <c r="A17" s="284" t="str">
        <f>+Q_11_12_13_14_Compromissos!C32</f>
        <v>QUADRO XV - Contas a pagar, dos Serviços e Fundos Autónomos, no final de setembro de 2023 (valores acumulados)</v>
      </c>
      <c r="B17" s="285"/>
      <c r="C17" s="285"/>
      <c r="D17" s="285"/>
    </row>
    <row r="18" spans="1:4" s="169" customFormat="1" ht="20.100000000000001" customHeight="1">
      <c r="A18" s="269" t="str">
        <f>+Q_11_12_13_14_Compromissos!C41</f>
        <v>QUADRO XVI - Contas a pagar, das Entidades Públicas Reclassseicadas, no final de setembro de 2023 (valores acumulados)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'!C76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76" display="'Pagamentos_Atraso '!B76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C46" sqref="C46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(janeiro-setembro)","TABLE I - Consolidated budget execution (january-september)")</f>
        <v>QUADRO I - Execução orçamental consolidada (janeiro-setembro)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2023","Consolidated balance")</f>
        <v>Saldo
consolidado
2023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977802.72977000009</v>
      </c>
      <c r="E5" s="57">
        <v>362628.20234000019</v>
      </c>
      <c r="F5" s="57">
        <v>252206.39519999997</v>
      </c>
      <c r="G5" s="57">
        <v>1057576.7701700004</v>
      </c>
      <c r="H5" s="57">
        <v>16.745681043673045</v>
      </c>
    </row>
    <row r="6" spans="1:10" ht="11.25" customHeight="1">
      <c r="C6" s="68" t="str">
        <f>+IF(Índice!$D$2=1,"Impostos diretos","Direct taxes")</f>
        <v>Impostos diretos</v>
      </c>
      <c r="D6" s="56">
        <v>288503.72451999999</v>
      </c>
      <c r="E6" s="56">
        <v>0</v>
      </c>
      <c r="F6" s="56">
        <v>0</v>
      </c>
      <c r="G6" s="56">
        <v>288503.72451999999</v>
      </c>
      <c r="H6" s="56">
        <v>33.36683889749159</v>
      </c>
    </row>
    <row r="7" spans="1:10">
      <c r="C7" s="68" t="str">
        <f>+IF(Índice!$D$2=1,"Impostos indiretos","Indirect taxes")</f>
        <v>Impostos indiretos</v>
      </c>
      <c r="D7" s="56">
        <v>513305.32734000013</v>
      </c>
      <c r="E7" s="56">
        <v>0</v>
      </c>
      <c r="F7" s="56">
        <v>0</v>
      </c>
      <c r="G7" s="56">
        <v>513305.32734000013</v>
      </c>
      <c r="H7" s="56">
        <v>11.676593809718083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175993.67790999997</v>
      </c>
      <c r="E9" s="56">
        <v>362628.20234000019</v>
      </c>
      <c r="F9" s="56">
        <v>252206.39519999997</v>
      </c>
      <c r="G9" s="56">
        <v>243732.71772000019</v>
      </c>
      <c r="H9" s="56">
        <v>6.6034644305982937</v>
      </c>
    </row>
    <row r="10" spans="1:10">
      <c r="C10" s="69" t="str">
        <f>+IF(Índice!$D$2=1,"Transferências correntes","Current transfers")</f>
        <v>Transferências correntes</v>
      </c>
      <c r="D10" s="56">
        <v>143046.46331999998</v>
      </c>
      <c r="E10" s="56">
        <v>355558.45378000016</v>
      </c>
      <c r="F10" s="56">
        <v>220146.33146999998</v>
      </c>
      <c r="G10" s="56">
        <v>171655.69084000017</v>
      </c>
      <c r="H10" s="56">
        <v>4.434753165084282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142496.17660000001</v>
      </c>
      <c r="E11" s="56">
        <v>1064.7338400000001</v>
      </c>
      <c r="F11" s="56">
        <v>784.22422000000006</v>
      </c>
      <c r="G11" s="56">
        <v>144345.13466000001</v>
      </c>
      <c r="H11" s="56">
        <v>4.7290541944626785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329991.60682000004</v>
      </c>
      <c r="F12" s="56">
        <v>217103.9509099999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12035.000590000143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58758.667490000007</v>
      </c>
      <c r="E14" s="57">
        <v>19876.806040000003</v>
      </c>
      <c r="F14" s="57">
        <v>24315.354259999996</v>
      </c>
      <c r="G14" s="57">
        <v>79947.32123000003</v>
      </c>
      <c r="H14" s="57">
        <v>-32.453903683529973</v>
      </c>
    </row>
    <row r="15" spans="1:10">
      <c r="C15" s="68" t="str">
        <f>+IF(Índice!$D$2=1,"Venda de bens de investimento","Sale of investment goods")</f>
        <v>Venda de bens de investimento</v>
      </c>
      <c r="D15" s="56">
        <v>7615.1750199999997</v>
      </c>
      <c r="E15" s="56">
        <v>0</v>
      </c>
      <c r="F15" s="56">
        <v>299.51698000000005</v>
      </c>
      <c r="G15" s="56">
        <v>7914.692</v>
      </c>
      <c r="H15" s="56">
        <v>75.806737433124155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48794.398390000002</v>
      </c>
      <c r="E16" s="56">
        <v>19810.655550000003</v>
      </c>
      <c r="F16" s="56">
        <v>23975.938749999998</v>
      </c>
      <c r="G16" s="56">
        <v>69513.142079999991</v>
      </c>
      <c r="H16" s="56">
        <v>-34.296330855185495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38022.665310000004</v>
      </c>
      <c r="E17" s="56">
        <v>145.84802999999999</v>
      </c>
      <c r="F17" s="56">
        <v>0</v>
      </c>
      <c r="G17" s="56">
        <v>38168.513340000005</v>
      </c>
      <c r="H17" s="56">
        <v>14.692232089983293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11881.35735</v>
      </c>
      <c r="F18" s="56">
        <v>11186.493259999999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64.344050000014406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1036561.3972600002</v>
      </c>
      <c r="E20" s="57">
        <v>382505.00838000019</v>
      </c>
      <c r="F20" s="57">
        <v>276521.74945999996</v>
      </c>
      <c r="G20" s="57">
        <v>1137524.0914000005</v>
      </c>
      <c r="H20" s="57">
        <v>11.060253167494661</v>
      </c>
    </row>
    <row r="21" spans="3:8" ht="20.25" customHeight="1">
      <c r="C21" s="220" t="str">
        <f>+IF(Índice!$D$2=1,"Despesa corrente","Current expenditure")</f>
        <v>Despesa corrente</v>
      </c>
      <c r="D21" s="220">
        <v>924551.09273000015</v>
      </c>
      <c r="E21" s="220">
        <v>351136.43793000001</v>
      </c>
      <c r="F21" s="220">
        <v>246101.66194000008</v>
      </c>
      <c r="G21" s="220">
        <v>986728.61654000054</v>
      </c>
      <c r="H21" s="220">
        <v>5.7428211329691115</v>
      </c>
    </row>
    <row r="22" spans="3:8" ht="10.5" customHeight="1">
      <c r="C22" s="68" t="str">
        <f>+IF(Índice!$D$2=1,"Consumo público","Public consumption")</f>
        <v>Consumo público</v>
      </c>
      <c r="D22" s="56">
        <v>439871.20072000026</v>
      </c>
      <c r="E22" s="56">
        <v>112312.73660000002</v>
      </c>
      <c r="F22" s="56">
        <v>232090.7426400001</v>
      </c>
      <c r="G22" s="56">
        <v>784274.67996000033</v>
      </c>
      <c r="H22" s="56">
        <v>6.6183292018954676</v>
      </c>
    </row>
    <row r="23" spans="3:8">
      <c r="C23" s="69" t="str">
        <f>+IF(Índice!$D$2=1,"Despesas com o pessoal","Compensation of employees")</f>
        <v>Despesas com o pessoal</v>
      </c>
      <c r="D23" s="56">
        <v>318236.24491000012</v>
      </c>
      <c r="E23" s="56">
        <v>36848.181790000031</v>
      </c>
      <c r="F23" s="56">
        <v>177008.04099000007</v>
      </c>
      <c r="G23" s="56">
        <v>532092.46769000019</v>
      </c>
      <c r="H23" s="56">
        <v>7.9829927207893059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121634.95581000013</v>
      </c>
      <c r="E24" s="56">
        <v>75464.554809999987</v>
      </c>
      <c r="F24" s="56">
        <v>55082.701650000025</v>
      </c>
      <c r="G24" s="56">
        <v>252182.21227000013</v>
      </c>
      <c r="H24" s="56">
        <v>3.8491824935278363</v>
      </c>
    </row>
    <row r="25" spans="3:8">
      <c r="C25" s="68" t="str">
        <f>+IF(Índice!$D$2=1,"Subsídios","Subsidies")</f>
        <v>Subsídios</v>
      </c>
      <c r="D25" s="56">
        <v>16477.435389999999</v>
      </c>
      <c r="E25" s="56">
        <v>3982.0838499999995</v>
      </c>
      <c r="F25" s="56">
        <v>0.80500000000000005</v>
      </c>
      <c r="G25" s="56">
        <v>20460.305319999999</v>
      </c>
      <c r="H25" s="56">
        <v>-14.346513227966163</v>
      </c>
    </row>
    <row r="26" spans="3:8">
      <c r="C26" s="68" t="str">
        <f>+IF(Índice!$D$2=1,"Juros e outros encargos","Interests and other charges")</f>
        <v>Juros e outros encargos</v>
      </c>
      <c r="D26" s="56">
        <v>84250.470010000048</v>
      </c>
      <c r="E26" s="56">
        <v>138.27789999999999</v>
      </c>
      <c r="F26" s="56">
        <v>4242.0128499999983</v>
      </c>
      <c r="G26" s="56">
        <v>88630.760760000048</v>
      </c>
      <c r="H26" s="56">
        <v>15.172621011258492</v>
      </c>
    </row>
    <row r="27" spans="3:8">
      <c r="C27" s="68" t="str">
        <f>+IF(Índice!$D$2=1,"Transferências correntes","Current transfers")</f>
        <v>Transferências correntes</v>
      </c>
      <c r="D27" s="56">
        <v>383951.98660999985</v>
      </c>
      <c r="E27" s="56">
        <v>234703.33958</v>
      </c>
      <c r="F27" s="56">
        <v>9768.1014500000019</v>
      </c>
      <c r="G27" s="56">
        <v>93362.870500000077</v>
      </c>
      <c r="H27" s="56">
        <v>-3.458184356145344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0</v>
      </c>
      <c r="E28" s="56">
        <v>1697.6411499999999</v>
      </c>
      <c r="F28" s="56">
        <v>0</v>
      </c>
      <c r="G28" s="56">
        <v>1697.6411499999999</v>
      </c>
      <c r="H28" s="56">
        <v>-2.2460245309774307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325400.14410999988</v>
      </c>
      <c r="E29" s="56">
        <v>209608.92406999998</v>
      </c>
      <c r="F29" s="56">
        <v>51.488959999999999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102614.00670000003</v>
      </c>
      <c r="E31" s="57">
        <v>20197.252350000002</v>
      </c>
      <c r="F31" s="57">
        <v>23526.653129999995</v>
      </c>
      <c r="G31" s="57">
        <v>123334.40562000006</v>
      </c>
      <c r="H31" s="57">
        <v>-20.917465884158769</v>
      </c>
    </row>
    <row r="32" spans="3:8">
      <c r="C32" s="68" t="str">
        <f>+IF(Índice!$D$2=1,"Investimento","Investment")</f>
        <v>Investimento</v>
      </c>
      <c r="D32" s="56">
        <v>69252.732380000045</v>
      </c>
      <c r="E32" s="56">
        <v>3349.8504700000003</v>
      </c>
      <c r="F32" s="56">
        <v>23264.058289999994</v>
      </c>
      <c r="G32" s="56">
        <v>95866.641140000036</v>
      </c>
      <c r="H32" s="56">
        <v>17.537156637557839</v>
      </c>
    </row>
    <row r="33" spans="3:8">
      <c r="C33" s="68" t="str">
        <f>+IF(Índice!$D$2=1,"Transferências capital","Capital transfers")</f>
        <v>Transferências capital</v>
      </c>
      <c r="D33" s="56">
        <v>33361.27431999999</v>
      </c>
      <c r="E33" s="56">
        <v>16839.146270000001</v>
      </c>
      <c r="F33" s="56">
        <v>262.59484000000003</v>
      </c>
      <c r="G33" s="56">
        <v>27459.508870000005</v>
      </c>
      <c r="H33" s="56">
        <v>-62.990127663310759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5876.2804400000005</v>
      </c>
      <c r="E34" s="56">
        <v>0</v>
      </c>
      <c r="F34" s="56">
        <v>0</v>
      </c>
      <c r="G34" s="56">
        <v>5876.2804400000005</v>
      </c>
      <c r="H34" s="56">
        <v>3.7329269682175203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22995.250949999987</v>
      </c>
      <c r="E35" s="56">
        <v>8.2556100000000008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8.2556100000000008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1027165.0994300001</v>
      </c>
      <c r="E38" s="86">
        <v>371333.69028000004</v>
      </c>
      <c r="F38" s="86">
        <v>269628.31507000013</v>
      </c>
      <c r="G38" s="86">
        <v>1110063.0221600006</v>
      </c>
      <c r="H38" s="86">
        <v>1.9251186688705735</v>
      </c>
    </row>
    <row r="39" spans="3:8" ht="17.25" customHeight="1">
      <c r="C39" s="138" t="str">
        <f>+IF(Índice!$D$2=1,"Saldo global","Overall balance")</f>
        <v>Saldo global</v>
      </c>
      <c r="D39" s="139">
        <v>9396.2978300001705</v>
      </c>
      <c r="E39" s="139">
        <v>11171.31810000015</v>
      </c>
      <c r="F39" s="139">
        <v>6893.4343899998348</v>
      </c>
      <c r="G39" s="139">
        <v>27461.069239999866</v>
      </c>
      <c r="H39" s="139">
        <v>142.34152299049899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53251.637039999943</v>
      </c>
      <c r="E41" s="19">
        <v>11491.764410000178</v>
      </c>
      <c r="F41" s="19">
        <v>6104.7332599998917</v>
      </c>
      <c r="G41" s="19">
        <v>70848.153629999841</v>
      </c>
      <c r="H41" s="19">
        <v>359.9054729938486</v>
      </c>
    </row>
    <row r="42" spans="3:8">
      <c r="C42" s="68" t="str">
        <f>+IF(Índice!$D$2=1,"Despesa corrente primária","Primary current expenditure")</f>
        <v>Despesa corrente primária</v>
      </c>
      <c r="D42" s="19">
        <v>840300.6227200001</v>
      </c>
      <c r="E42" s="19">
        <v>350998.16003000003</v>
      </c>
      <c r="F42" s="19">
        <v>241859.64909000008</v>
      </c>
      <c r="G42" s="19">
        <v>898097.85578000045</v>
      </c>
      <c r="H42" s="19">
        <v>4.8952621792320405</v>
      </c>
    </row>
    <row r="43" spans="3:8">
      <c r="C43" s="68" t="str">
        <f>+IF(Índice!$D$2=1,"Saldo corrente primário","Primary current balance")</f>
        <v>Saldo corrente primário</v>
      </c>
      <c r="D43" s="19">
        <v>137502.10704999999</v>
      </c>
      <c r="E43" s="19">
        <v>11630.042310000164</v>
      </c>
      <c r="F43" s="19">
        <v>10346.746109999891</v>
      </c>
      <c r="G43" s="19">
        <v>159478.91438999993</v>
      </c>
      <c r="H43" s="19">
        <v>220.91209783647892</v>
      </c>
    </row>
    <row r="44" spans="3:8">
      <c r="C44" s="68" t="str">
        <f>+IF(Índice!$D$2=1,"Saldo de capital","Capital balance")</f>
        <v>Saldo de capital</v>
      </c>
      <c r="D44" s="19">
        <v>-43855.33921000002</v>
      </c>
      <c r="E44" s="19">
        <v>-320.44630999999936</v>
      </c>
      <c r="F44" s="19">
        <v>788.70113000000129</v>
      </c>
      <c r="G44" s="19">
        <v>-43387.084390000033</v>
      </c>
      <c r="H44" s="19">
        <v>-15.400633998204993</v>
      </c>
    </row>
    <row r="45" spans="3:8">
      <c r="C45" s="68" t="str">
        <f t="array" ref="C45">+IF(Índice!$D$2=1,"Despesa primária","Primary expenditure")</f>
        <v>Despesa primária</v>
      </c>
      <c r="D45" s="19">
        <v>942914.62942000001</v>
      </c>
      <c r="E45" s="19">
        <v>371195.41238000005</v>
      </c>
      <c r="F45" s="19">
        <v>265386.30222000013</v>
      </c>
      <c r="G45" s="19">
        <v>1021432.2614000005</v>
      </c>
      <c r="H45" s="19">
        <v>0.9178905876653598</v>
      </c>
    </row>
    <row r="46" spans="3:8">
      <c r="C46" s="221" t="str">
        <f>+IF(Índice!$D$2=1,"Saldo primário","Primary balance")</f>
        <v>Saldo primário</v>
      </c>
      <c r="D46" s="132">
        <v>93646.767840000219</v>
      </c>
      <c r="E46" s="132">
        <v>11309.596000000136</v>
      </c>
      <c r="F46" s="132">
        <v>11135.447239999834</v>
      </c>
      <c r="G46" s="132">
        <v>116091.82999999996</v>
      </c>
      <c r="H46" s="132">
        <v>859.54818561286959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C46" sqref="C4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(janeiro-setembro)","TABLE II - Regional Gov. budget execution (january-september)")</f>
        <v>QUADRO II - Execução orçamental do Gov. Regional (janeiro-setembro)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2022</v>
      </c>
      <c r="E3" s="156">
        <v>2023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840673.5144199999</v>
      </c>
      <c r="E5" s="225">
        <v>977802.72977000009</v>
      </c>
      <c r="F5" s="225">
        <v>16.311827718827175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675958.98413999984</v>
      </c>
      <c r="E6" s="231">
        <v>801809.05186000012</v>
      </c>
      <c r="F6" s="231">
        <v>18.618003558324638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216323.43309999999</v>
      </c>
      <c r="E7" s="231">
        <v>288503.72451999999</v>
      </c>
      <c r="F7" s="231">
        <v>33.36683889749159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459635.55103999987</v>
      </c>
      <c r="E8" s="231">
        <v>513305.32734000013</v>
      </c>
      <c r="F8" s="231">
        <v>11.676593809718083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164714.53028000001</v>
      </c>
      <c r="E9" s="231">
        <v>175993.67790999997</v>
      </c>
      <c r="F9" s="231">
        <v>6.8476943781622834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76530.632750000004</v>
      </c>
      <c r="E10" s="232">
        <v>58758.667490000007</v>
      </c>
      <c r="F10" s="232">
        <v>-23.222028384444528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917204.14716999989</v>
      </c>
      <c r="E12" s="232">
        <v>1036561.3972600001</v>
      </c>
      <c r="F12" s="232">
        <v>13.013160751428421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866758.25310000032</v>
      </c>
      <c r="E14" s="232">
        <v>924551.09273000003</v>
      </c>
      <c r="F14" s="232">
        <v>6.6676999524724501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293504.33457000018</v>
      </c>
      <c r="E15" s="231">
        <v>318236.24491000001</v>
      </c>
      <c r="F15" s="231">
        <v>8.4264208146136674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115974.26031000009</v>
      </c>
      <c r="E16" s="231">
        <v>121011.31866000014</v>
      </c>
      <c r="F16" s="231">
        <v>4.3432554228291398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73793.575700000016</v>
      </c>
      <c r="E17" s="231">
        <v>84250.470010000048</v>
      </c>
      <c r="F17" s="231">
        <v>14.170467023459366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364822.30968000001</v>
      </c>
      <c r="E18" s="231">
        <v>383951.98660999991</v>
      </c>
      <c r="F18" s="231">
        <v>5.2435600626451029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306769.07431</v>
      </c>
      <c r="E19" s="231">
        <v>325400.14410999988</v>
      </c>
      <c r="F19" s="231">
        <v>6.0733207354443319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58053.235370000009</v>
      </c>
      <c r="E20" s="231">
        <v>58551.842500000021</v>
      </c>
      <c r="F20" s="231">
        <v>0.85887914225994955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17952.149040000004</v>
      </c>
      <c r="E21" s="231">
        <v>16477.435389999999</v>
      </c>
      <c r="F21" s="231">
        <v>-8.2146914372988373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711.62380000000019</v>
      </c>
      <c r="E22" s="231">
        <v>623.63715000000002</v>
      </c>
      <c r="F22" s="231">
        <v>-12.364208448340285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144215.4675900001</v>
      </c>
      <c r="E23" s="232">
        <v>102614.00670000003</v>
      </c>
      <c r="F23" s="232">
        <v>-28.846739940733457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70165.70221000012</v>
      </c>
      <c r="E24" s="231">
        <v>69252.732380000045</v>
      </c>
      <c r="F24" s="231">
        <v>-1.3011625356041168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74049.765379999983</v>
      </c>
      <c r="E25" s="231">
        <v>33361.27431999999</v>
      </c>
      <c r="F25" s="231">
        <v>-54.947494905891361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65579.820329999988</v>
      </c>
      <c r="E26" s="231">
        <v>28871.531389999989</v>
      </c>
      <c r="F26" s="231">
        <v>-55.974976380359976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8469.9450499999984</v>
      </c>
      <c r="E27" s="231">
        <v>4489.7429300000003</v>
      </c>
      <c r="F27" s="231">
        <v>-46.992065432585051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1010973.7206900005</v>
      </c>
      <c r="E29" s="235">
        <v>1027165.0994300001</v>
      </c>
      <c r="F29" s="235">
        <v>1.6015627714782488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-93769.573520000515</v>
      </c>
      <c r="E31" s="139">
        <v>9396.2978300000395</v>
      </c>
      <c r="F31" s="139">
        <v>110.0206255369135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-26084.738680000417</v>
      </c>
      <c r="E33" s="19">
        <v>53251.63704000006</v>
      </c>
      <c r="F33" s="19">
        <v>304.148631478639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-67684.834840000098</v>
      </c>
      <c r="E34" s="19">
        <v>-43855.33921000002</v>
      </c>
      <c r="F34" s="19">
        <v>35.206550605213891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-19975.997820000499</v>
      </c>
      <c r="E35" s="19">
        <v>93646.767840000088</v>
      </c>
      <c r="F35" s="19">
        <v>568.79644603404222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28795.776950000003</v>
      </c>
      <c r="E36" s="106">
        <v>18894.362939999999</v>
      </c>
      <c r="F36" s="106">
        <v>-34.384951748975134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D5" sqref="D5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(setembro)","TABLE III - Regional Gov. budget execution (september)")</f>
        <v>QUADRO III - Execução orçamental do Gov. Regional (setembro)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2022</v>
      </c>
      <c r="E3" s="293">
        <v>2023</v>
      </c>
      <c r="F3" s="293" t="s">
        <v>103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108274.8455899999</v>
      </c>
      <c r="E5" s="225">
        <v>110278.85217000006</v>
      </c>
      <c r="F5" s="225">
        <v>1.8508514780881447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107015.22446999991</v>
      </c>
      <c r="E6" s="231">
        <v>108482.40451000005</v>
      </c>
      <c r="F6" s="231">
        <v>1.371001226476376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49851.644310000003</v>
      </c>
      <c r="E7" s="231">
        <v>44031.598219999971</v>
      </c>
      <c r="F7" s="231">
        <v>-11.674732439733305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57163.58015999991</v>
      </c>
      <c r="E8" s="231">
        <v>64450.80629000008</v>
      </c>
      <c r="F8" s="231">
        <v>12.7480226214022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1259.6211200000012</v>
      </c>
      <c r="E9" s="231">
        <v>1796.4476600000194</v>
      </c>
      <c r="F9" s="231">
        <v>42.618096146245762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1144.6577099999945</v>
      </c>
      <c r="E10" s="232">
        <v>4699.8924400000005</v>
      </c>
      <c r="F10" s="232">
        <v>310.59369966590475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109419.50329999989</v>
      </c>
      <c r="E12" s="232">
        <v>114978.74461000005</v>
      </c>
      <c r="F12" s="232">
        <v>5.080667652784121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81313.175110000608</v>
      </c>
      <c r="E14" s="232">
        <v>82664.529130001058</v>
      </c>
      <c r="F14" s="232">
        <v>1.6619127443644022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30944.564400000781</v>
      </c>
      <c r="E15" s="231">
        <v>34031.694310001076</v>
      </c>
      <c r="F15" s="231">
        <v>9.9763236932177257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4946.8512500000597</v>
      </c>
      <c r="E16" s="231">
        <v>5149.2753099999727</v>
      </c>
      <c r="F16" s="231">
        <v>4.0919779021030944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2530.3199800000189</v>
      </c>
      <c r="E17" s="231">
        <v>3103.5256699999718</v>
      </c>
      <c r="F17" s="231">
        <v>22.653486299386884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40700.909749999759</v>
      </c>
      <c r="E18" s="231">
        <v>37803.108460000039</v>
      </c>
      <c r="F18" s="231">
        <v>-7.1197457447489505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2172.0438000000026</v>
      </c>
      <c r="E19" s="231">
        <v>2545.5284499999993</v>
      </c>
      <c r="F19" s="231">
        <v>17.19507912317404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18.485929999999936</v>
      </c>
      <c r="E20" s="231">
        <v>31.396930000000051</v>
      </c>
      <c r="F20" s="231">
        <v>69.842307095180828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16405.199240000151</v>
      </c>
      <c r="E21" s="232">
        <v>19687.619690000047</v>
      </c>
      <c r="F21" s="232">
        <v>20.008415636894551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13533.868170000098</v>
      </c>
      <c r="E22" s="231">
        <v>16261.512840000056</v>
      </c>
      <c r="F22" s="231">
        <v>20.154213383326748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2871.3310700000525</v>
      </c>
      <c r="E23" s="231">
        <v>3426.1068499999901</v>
      </c>
      <c r="F23" s="231">
        <v>19.321205617711222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97718.374350000755</v>
      </c>
      <c r="E25" s="300">
        <v>102352.14882000111</v>
      </c>
      <c r="F25" s="300">
        <v>4.7419684382012273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11701.12894999914</v>
      </c>
      <c r="E27" s="287">
        <v>12626.595789998944</v>
      </c>
      <c r="F27" s="287">
        <v>7.9092098203043193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26961.670479999288</v>
      </c>
      <c r="E29" s="19">
        <v>27614.323039998999</v>
      </c>
      <c r="F29" s="19">
        <v>2.4206681128450924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-15260.541530000157</v>
      </c>
      <c r="E30" s="19">
        <v>-14987.727250000047</v>
      </c>
      <c r="F30" s="19">
        <v>1.7877103473935896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14231.448929999158</v>
      </c>
      <c r="E31" s="19">
        <v>15730.121459998916</v>
      </c>
      <c r="F31" s="19">
        <v>10.530709398398885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6"/>
      <c r="E33" s="326"/>
      <c r="F33" s="326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C46" sqref="C46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(janeiro-setembro)","TABLE IV - Regional Gov. tax revenue budget execution (january-september)")</f>
        <v>QUADRO IV - Execução orçamental da receita fiscal do Gov. Reg. (janeiro-setembro)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2022</v>
      </c>
      <c r="E3" s="156">
        <v>2023</v>
      </c>
      <c r="F3" s="240" t="str">
        <f>+IF(Índice!$D$2=1,"VH (%)","yoy change (%)")</f>
        <v>VH (%)</v>
      </c>
      <c r="G3" s="240" t="str">
        <f>+IF(Índice!$D$2=1,"Grau de Execução (%)","Execution level (%)")</f>
        <v>Grau de Execução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675958.98413999984</v>
      </c>
      <c r="E5" s="33">
        <v>801809.05186000012</v>
      </c>
      <c r="F5" s="270">
        <v>0.18618003558324636</v>
      </c>
      <c r="G5" s="270">
        <v>0.75880424111363032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216323.43309999999</v>
      </c>
      <c r="E7" s="70">
        <v>288503.72451999999</v>
      </c>
      <c r="F7" s="271">
        <v>0.33366838897491591</v>
      </c>
      <c r="G7" s="271">
        <v>0.76117728041950117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149906.22352999999</v>
      </c>
      <c r="E8" s="70">
        <v>159142.53250999999</v>
      </c>
      <c r="F8" s="271">
        <v>6.1613912768281986E-2</v>
      </c>
      <c r="G8" s="271">
        <v>0.66239852984163816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66417.209570000006</v>
      </c>
      <c r="E9" s="70">
        <v>129361.19201</v>
      </c>
      <c r="F9" s="271">
        <v>0.94770591609484245</v>
      </c>
      <c r="G9" s="271">
        <v>0.93219118201675066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459635.55103999987</v>
      </c>
      <c r="E11" s="70">
        <v>513305.32734000013</v>
      </c>
      <c r="F11" s="271">
        <v>0.11676593809718083</v>
      </c>
      <c r="G11" s="271">
        <v>0.75747695609457977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31239.610390000002</v>
      </c>
      <c r="E12" s="70">
        <v>26456.62472</v>
      </c>
      <c r="F12" s="271">
        <v>-0.15310644435985243</v>
      </c>
      <c r="G12" s="271">
        <v>0.5136809707983846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355347.19957</v>
      </c>
      <c r="E13" s="70">
        <v>405827.50177000003</v>
      </c>
      <c r="F13" s="271">
        <v>0.1420590967399924</v>
      </c>
      <c r="G13" s="271">
        <v>0.79263450524730095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3481.3765699999999</v>
      </c>
      <c r="E14" s="70">
        <v>5025.9252900000001</v>
      </c>
      <c r="F14" s="271">
        <v>0.44366034209278316</v>
      </c>
      <c r="G14" s="271">
        <v>0.98181779449111162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22041.334930000001</v>
      </c>
      <c r="E15" s="70">
        <v>25504.085039999998</v>
      </c>
      <c r="F15" s="271">
        <v>0.1571025584882757</v>
      </c>
      <c r="G15" s="271">
        <v>0.68010893439999998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6268.8069399999995</v>
      </c>
      <c r="E16" s="70">
        <v>6325.4654300000002</v>
      </c>
      <c r="F16" s="271">
        <v>9.0381615740109389E-3</v>
      </c>
      <c r="G16" s="271">
        <v>0.57295882518115948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41257.22264</v>
      </c>
      <c r="E17" s="70">
        <v>44165.72509</v>
      </c>
      <c r="F17" s="271">
        <v>7.0496806713792992E-2</v>
      </c>
      <c r="G17" s="271">
        <v>0.73013107476769945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22575.36089</v>
      </c>
      <c r="E18" s="70">
        <v>23921.915920000003</v>
      </c>
      <c r="F18" s="271">
        <v>5.9647109809725096E-2</v>
      </c>
      <c r="G18" s="271">
        <v>0.70175138423455219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4761.2656399999987</v>
      </c>
      <c r="E19" s="70">
        <v>5484.2315100000005</v>
      </c>
      <c r="F19" s="271">
        <v>0.15184321242786236</v>
      </c>
      <c r="G19" s="271">
        <v>0.71733785108046089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241245.16303</v>
      </c>
      <c r="E21" s="33">
        <v>234752.34539999999</v>
      </c>
      <c r="F21" s="270">
        <v>-2.6913773310317524E-2</v>
      </c>
      <c r="G21" s="270">
        <v>0.44046398250641272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917204.14716999978</v>
      </c>
      <c r="E23" s="139">
        <v>1036561.3972600001</v>
      </c>
      <c r="F23" s="274">
        <v>0.13013160751428443</v>
      </c>
      <c r="G23" s="274">
        <v>0.65207284567347235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C46" sqref="C4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(janeiro-setembro)","TABLE V - Regional Gov. non-tax revenue budget execution (january-september)")</f>
        <v>QUADRO V - Execução orçamental da receita não fiscal do Gov. Reg. (janeiro-setembro)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2022</v>
      </c>
      <c r="E3" s="156">
        <v>2023</v>
      </c>
      <c r="F3" s="226" t="str">
        <f>+IF(Índice!$D$2=1,"VH (%)","yoy change (%)")</f>
        <v>VH (%)</v>
      </c>
      <c r="G3" s="226" t="str">
        <f>+IF(Índice!$D$2=1,"Grau de Execução (%)","Execution level (%)")</f>
        <v>Grau de Execução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675958.98413999984</v>
      </c>
      <c r="E5" s="41">
        <v>801809.05186000012</v>
      </c>
      <c r="F5" s="276">
        <v>0.18618003558324636</v>
      </c>
      <c r="G5" s="42">
        <v>0.75880424111363032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241245.16303</v>
      </c>
      <c r="E7" s="41">
        <v>234752.34539999999</v>
      </c>
      <c r="F7" s="276">
        <v>-2.6913773310317524E-2</v>
      </c>
      <c r="G7" s="42">
        <v>0.44046398250641272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164714.53028000001</v>
      </c>
      <c r="E8" s="41">
        <v>175993.67790999997</v>
      </c>
      <c r="F8" s="276">
        <v>6.8476943781622834E-2</v>
      </c>
      <c r="G8" s="42">
        <v>0.65025997832716476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12273.5697</v>
      </c>
      <c r="E10" s="71">
        <v>15686.542459999999</v>
      </c>
      <c r="F10" s="278">
        <v>0.27807498905554739</v>
      </c>
      <c r="G10" s="43">
        <v>0.65005393280218005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7817.3142400000015</v>
      </c>
      <c r="E11" s="71">
        <v>8402.7195199999987</v>
      </c>
      <c r="F11" s="278">
        <v>7.4885729552045976E-2</v>
      </c>
      <c r="G11" s="43">
        <v>0.97017308290032189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136887.10722000001</v>
      </c>
      <c r="E12" s="71">
        <v>143046.46331999998</v>
      </c>
      <c r="F12" s="278">
        <v>4.4995881826188855E-2</v>
      </c>
      <c r="G12" s="43">
        <v>0.7329163156877373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6544.7972100000006</v>
      </c>
      <c r="E13" s="47">
        <v>7696.7340599999989</v>
      </c>
      <c r="F13" s="278">
        <v>0.17600802790954595</v>
      </c>
      <c r="G13" s="43">
        <v>0.78298541075956973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1191.7419100000002</v>
      </c>
      <c r="E14" s="71">
        <v>1161.2185500000001</v>
      </c>
      <c r="F14" s="278">
        <v>-2.5612391192989192E-2</v>
      </c>
      <c r="G14" s="43">
        <v>3.5344029611565825E-2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76530.632750000004</v>
      </c>
      <c r="E17" s="41">
        <v>58758.667490000007</v>
      </c>
      <c r="F17" s="276">
        <v>-0.23222028384444526</v>
      </c>
      <c r="G17" s="42">
        <v>0.22400058995529989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4182.6777599999996</v>
      </c>
      <c r="E18" s="71">
        <v>7615.1750199999997</v>
      </c>
      <c r="F18" s="278">
        <v>0.82064587734341754</v>
      </c>
      <c r="G18" s="43">
        <v>0.28051703903849146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64546.398910000011</v>
      </c>
      <c r="E19" s="44">
        <v>48794.398390000002</v>
      </c>
      <c r="F19" s="278">
        <v>-0.24404150790757118</v>
      </c>
      <c r="G19" s="43">
        <v>0.21565365444042028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1.3766800000000001</v>
      </c>
      <c r="E20" s="71">
        <v>8.2813999999999997</v>
      </c>
      <c r="F20" s="278">
        <v>5.0154865328180831</v>
      </c>
      <c r="G20" s="43">
        <v>4.0006763285024158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7800.1794</v>
      </c>
      <c r="E21" s="47">
        <v>2340.81268</v>
      </c>
      <c r="F21" s="278">
        <v>-0.69990271249402292</v>
      </c>
      <c r="G21" s="43">
        <v>0.26292403459508029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917204.14716999978</v>
      </c>
      <c r="E23" s="287">
        <v>1036561.3972600001</v>
      </c>
      <c r="F23" s="288">
        <v>0.13013160751428443</v>
      </c>
      <c r="G23" s="288">
        <v>0.65207284567347235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C46" sqref="C4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(janeiro-setembro)","TABLE VI - Regional Gov. expenditure budget execution (january-september)")</f>
        <v>QUADRO VI - Execução orçamental das despesas do Governo Regional (janeiro-setembro)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8">
        <v>2022</v>
      </c>
      <c r="E3" s="330">
        <v>2023</v>
      </c>
      <c r="F3" s="153">
        <v>2022</v>
      </c>
      <c r="G3" s="153">
        <v>2023</v>
      </c>
      <c r="H3" s="331" t="str">
        <f>+IF(Índice!$D$2=1,"VH (%)","yoy change (%)")</f>
        <v>VH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Grau de Execução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866758.25310000032</v>
      </c>
      <c r="E5" s="253">
        <v>924551.09273000003</v>
      </c>
      <c r="F5" s="253">
        <v>68.248282604522132</v>
      </c>
      <c r="G5" s="253">
        <v>65.073147722154573</v>
      </c>
      <c r="H5" s="253">
        <v>6.6676999524724447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293504.33457000018</v>
      </c>
      <c r="E6" s="74">
        <v>318236.24491000001</v>
      </c>
      <c r="F6" s="74">
        <v>70.367381298286347</v>
      </c>
      <c r="G6" s="74">
        <v>71.398879696987322</v>
      </c>
      <c r="H6" s="254">
        <v>8.4264208146136657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237949.94032000014</v>
      </c>
      <c r="E7" s="75">
        <v>257552.08942999999</v>
      </c>
      <c r="F7" s="75">
        <v>71.492190426411867</v>
      </c>
      <c r="G7" s="75">
        <v>72.782417404396398</v>
      </c>
      <c r="H7" s="254">
        <v>8.2379298282817253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4357.2146799999982</v>
      </c>
      <c r="E8" s="75">
        <v>5520.3251999999993</v>
      </c>
      <c r="F8" s="75">
        <v>70.312154447391734</v>
      </c>
      <c r="G8" s="75">
        <v>71.662167058297229</v>
      </c>
      <c r="H8" s="254">
        <v>26.693899782785124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51197.179570000037</v>
      </c>
      <c r="E9" s="75">
        <v>55163.830279999995</v>
      </c>
      <c r="F9" s="75">
        <v>65.576547102892107</v>
      </c>
      <c r="G9" s="75">
        <v>65.556542376836504</v>
      </c>
      <c r="H9" s="254">
        <v>7.7477914668648911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115974.26031000009</v>
      </c>
      <c r="E10" s="75">
        <v>121011.31866000014</v>
      </c>
      <c r="F10" s="75">
        <v>60.268141601929514</v>
      </c>
      <c r="G10" s="75">
        <v>60.497140727614209</v>
      </c>
      <c r="H10" s="254">
        <v>4.34325542282913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73793.575700000016</v>
      </c>
      <c r="E11" s="75">
        <v>84250.470010000048</v>
      </c>
      <c r="F11" s="75">
        <v>71.952522898958222</v>
      </c>
      <c r="G11" s="75">
        <v>56.540659486841619</v>
      </c>
      <c r="H11" s="254">
        <v>14.170467023459373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364822.30968000001</v>
      </c>
      <c r="E12" s="74">
        <v>383951.98660999991</v>
      </c>
      <c r="F12" s="74">
        <v>70.846935039560847</v>
      </c>
      <c r="G12" s="74">
        <v>65.276550194522258</v>
      </c>
      <c r="H12" s="254">
        <v>5.2435600626450976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306769.07431</v>
      </c>
      <c r="E13" s="74">
        <v>325400.14410999988</v>
      </c>
      <c r="F13" s="74">
        <v>76.724918674829766</v>
      </c>
      <c r="G13" s="74">
        <v>68.468901194769145</v>
      </c>
      <c r="H13" s="254">
        <v>6.0733207354443381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274.87770999999998</v>
      </c>
      <c r="E14" s="75">
        <v>0</v>
      </c>
      <c r="F14" s="74">
        <v>99.99953070260004</v>
      </c>
      <c r="G14" s="74">
        <v>0</v>
      </c>
      <c r="H14" s="254"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306494.19660000002</v>
      </c>
      <c r="E15" s="75">
        <v>325400.14410999988</v>
      </c>
      <c r="F15" s="75">
        <v>76.708906602277153</v>
      </c>
      <c r="G15" s="75">
        <v>68.505947692586787</v>
      </c>
      <c r="H15" s="254">
        <v>6.1684520358712236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104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104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58053.235370000009</v>
      </c>
      <c r="E18" s="75">
        <v>58551.842500000021</v>
      </c>
      <c r="F18" s="72">
        <v>50.430819703683461</v>
      </c>
      <c r="G18" s="72">
        <v>51.843152914390465</v>
      </c>
      <c r="H18" s="77">
        <v>0.85887914225995909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17952.149040000004</v>
      </c>
      <c r="E19" s="72">
        <v>16477.435389999999</v>
      </c>
      <c r="F19" s="72">
        <v>49.667210155487915</v>
      </c>
      <c r="G19" s="72">
        <v>48.610271479879771</v>
      </c>
      <c r="H19" s="77">
        <v>-8.2146914372988338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711.62380000000019</v>
      </c>
      <c r="E20" s="72">
        <v>623.63715000000002</v>
      </c>
      <c r="F20" s="72">
        <v>10.424913831798266</v>
      </c>
      <c r="G20" s="72">
        <v>15.809350739821374</v>
      </c>
      <c r="H20" s="77">
        <v>-12.364208448340282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792964.67740000028</v>
      </c>
      <c r="E22" s="78">
        <v>840300.62271999998</v>
      </c>
      <c r="F22" s="78">
        <v>67.922870376365978</v>
      </c>
      <c r="G22" s="78">
        <v>66.07286129803849</v>
      </c>
      <c r="H22" s="76">
        <v>5.9694897728870373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144215.4675900001</v>
      </c>
      <c r="E24" s="78">
        <v>102614.00670000003</v>
      </c>
      <c r="F24" s="78">
        <v>46.206435165685107</v>
      </c>
      <c r="G24" s="78">
        <v>33.968334776928444</v>
      </c>
      <c r="H24" s="76">
        <v>-28.846739940733457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70165.70221000012</v>
      </c>
      <c r="E25" s="72">
        <v>69252.732380000045</v>
      </c>
      <c r="F25" s="72">
        <v>39.450773703091002</v>
      </c>
      <c r="G25" s="72">
        <v>32.110466207954126</v>
      </c>
      <c r="H25" s="77">
        <v>-1.3011625356041214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74049.765379999983</v>
      </c>
      <c r="E26" s="59">
        <v>33361.27431999999</v>
      </c>
      <c r="F26" s="59">
        <v>55.563811859751652</v>
      </c>
      <c r="G26" s="59">
        <v>38.605005764782405</v>
      </c>
      <c r="H26" s="77">
        <v>-54.947494905891361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65579.820329999988</v>
      </c>
      <c r="E27" s="59">
        <v>28871.531389999989</v>
      </c>
      <c r="F27" s="59">
        <v>50.540039161008075</v>
      </c>
      <c r="G27" s="59">
        <v>41.894047679456222</v>
      </c>
      <c r="H27" s="77">
        <v>-55.974976380359962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5164.8169600000001</v>
      </c>
      <c r="E28" s="72">
        <v>5137.2699899999998</v>
      </c>
      <c r="F28" s="72">
        <v>86.380035787522004</v>
      </c>
      <c r="G28" s="72">
        <v>85.145882185639749</v>
      </c>
      <c r="H28" s="77">
        <v>-0.53335810762208169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59915.003369999991</v>
      </c>
      <c r="E29" s="72">
        <v>22995.250949999987</v>
      </c>
      <c r="F29" s="72">
        <v>49.989290761844416</v>
      </c>
      <c r="G29" s="72">
        <v>39.881282115723394</v>
      </c>
      <c r="H29" s="77">
        <v>-61.620212540096553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500</v>
      </c>
      <c r="E30" s="72">
        <v>739.01045000000011</v>
      </c>
      <c r="F30" s="72">
        <v>12.744392849478015</v>
      </c>
      <c r="G30" s="72">
        <v>14.149579233076848</v>
      </c>
      <c r="H30" s="77">
        <v>47.802090000000021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1010973.7206900005</v>
      </c>
      <c r="E33" s="142">
        <v>1027165.0994300001</v>
      </c>
      <c r="F33" s="143">
        <v>63.899994375137403</v>
      </c>
      <c r="G33" s="143">
        <v>59.61925866540939</v>
      </c>
      <c r="H33" s="141">
        <v>1.6015627714782554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28795.776950000003</v>
      </c>
      <c r="E36" s="150">
        <v>18894.362939999999</v>
      </c>
      <c r="F36" s="150">
        <v>55.949482468135834</v>
      </c>
      <c r="G36" s="150">
        <v>18.375411549670591</v>
      </c>
      <c r="H36" s="128">
        <v>-34.384951748975134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434873.03993000003</v>
      </c>
      <c r="E37" s="150">
        <v>173062.58490999998</v>
      </c>
      <c r="F37" s="150">
        <v>81.961155258183453</v>
      </c>
      <c r="G37" s="150">
        <v>66.703739085727094</v>
      </c>
      <c r="H37" s="128">
        <v>-60.203882738314327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C46" sqref="C46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(janeiro-setembro)","TABLE VII - Regional Gov. expenditure by functional classification (january-september)")</f>
        <v>QUADRO VII - Despesa do Governo Regional, por classificação funcional (janeiro-setembro)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30">
        <v>2022</v>
      </c>
      <c r="E3" s="333">
        <v>2023</v>
      </c>
      <c r="F3" s="334" t="str">
        <f>+IF(Índice!$D$2=1,"Peso na estrutura
 em 2023","Weight in 2023 structure")</f>
        <v>Peso na estrutura
 em 2023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131192.56734000007</v>
      </c>
      <c r="E5" s="34">
        <v>152017.44930000009</v>
      </c>
      <c r="F5" s="34">
        <v>14.799709353867099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8349.8930400000008</v>
      </c>
      <c r="E7" s="34">
        <v>7712.1560899999995</v>
      </c>
      <c r="F7" s="34">
        <v>0.75081952203006752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260137.06377999997</v>
      </c>
      <c r="E8" s="34">
        <v>189564.55770000021</v>
      </c>
      <c r="F8" s="34">
        <v>18.455120584333937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12076.624759999999</v>
      </c>
      <c r="E9" s="34">
        <v>12119.82178</v>
      </c>
      <c r="F9" s="34">
        <v>1.1799292817411329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40080.698040000003</v>
      </c>
      <c r="E10" s="34">
        <v>62630.569130000033</v>
      </c>
      <c r="F10" s="34">
        <v>6.0974198952783043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257849.59983000002</v>
      </c>
      <c r="E11" s="34">
        <v>276061.31543000008</v>
      </c>
      <c r="F11" s="34">
        <v>26.87604121121262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21653.767310000003</v>
      </c>
      <c r="E12" s="34">
        <v>23791.388359999986</v>
      </c>
      <c r="F12" s="34">
        <v>2.316218529348633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267414.53372999979</v>
      </c>
      <c r="E13" s="34">
        <v>288059.43122000026</v>
      </c>
      <c r="F13" s="34">
        <v>28.044121765804892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12218.972859999998</v>
      </c>
      <c r="E14" s="34">
        <v>15208.410420000002</v>
      </c>
      <c r="F14" s="34">
        <v>1.4806198563833142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1010973.7206899998</v>
      </c>
      <c r="E17" s="145">
        <v>1027165.0994300006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28795.776950000003</v>
      </c>
      <c r="E20" s="152">
        <v>18894.362939999999</v>
      </c>
      <c r="F20" s="152">
        <v>1.839466990310024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434873.03993000003</v>
      </c>
      <c r="E21" s="283">
        <v>173062.58490999998</v>
      </c>
      <c r="F21" s="283">
        <v>16.848565533042027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Q_11_12_13_14_Compromissos</vt:lpstr>
      <vt:lpstr>Pagamentos_Atraso </vt:lpstr>
      <vt:lpstr>'CAPA (PT)'!Área_de_Impressão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2023-10-26T14:19:44Z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