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Dezembro\"/>
    </mc:Choice>
  </mc:AlternateContent>
  <xr:revisionPtr revIDLastSave="0" documentId="8_{57856EF1-F5DE-412F-AAA6-32B6ACF464EF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2" l="1"/>
  <c r="C2" i="39"/>
  <c r="C2" i="13"/>
  <c r="C2" i="51"/>
  <c r="D3" i="61"/>
  <c r="C2" i="61"/>
  <c r="D24" i="38"/>
  <c r="C23" i="38"/>
  <c r="D3" i="38"/>
  <c r="C2" i="38"/>
  <c r="C2" i="32"/>
  <c r="C2" i="8"/>
  <c r="C2" i="60"/>
  <c r="C2" i="9"/>
  <c r="C2" i="50"/>
  <c r="C2" i="10"/>
  <c r="A8" i="54" s="1"/>
  <c r="C2" i="11"/>
  <c r="C46" i="12"/>
  <c r="D42" i="38"/>
  <c r="C41" i="38"/>
  <c r="D33" i="38"/>
  <c r="C32" i="38"/>
  <c r="A20" i="54"/>
  <c r="A14" i="54" l="1"/>
  <c r="A5" i="54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<sst xmlns="http://schemas.openxmlformats.org/spreadsheetml/2006/main" count="132" uniqueCount="113">
  <si>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</si>
  <si>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</si>
  <si>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</si>
  <si>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</si>
  <si>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</si>
  <si>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</si>
  <si>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</si>
  <si>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</si>
  <si>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</si>
  <si>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</si>
  <si>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</si>
  <si>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</si>
  <si>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</si>
  <si>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</si>
  <si>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</si>
  <si>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</si>
  <si>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</si>
  <si>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</si>
  <si>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</si>
  <si>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</si>
  <si>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</si>
  <si>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</si>
  <si>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</si>
  <si>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</si>
  <si>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</si>
  <si>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</si>
  <si>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</si>
  <si>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</si>
  <si>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</si>
  <si>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</si>
  <si>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</si>
  <si>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</si>
  <si>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</si>
  <si>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</si>
  <si>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</si>
  <si>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</si>
  <si>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</si>
  <si>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</si>
  <si>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</si>
  <si>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</si>
  <si>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</si>
  <si>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</si>
  <si>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</si>
  <si>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</si>
  <si>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</si>
  <si>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</si>
  <si>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</si>
  <si>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</si>
  <si>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</si>
  <si>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</si>
  <si>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</si>
  <si>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</si>
  <si>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</si>
  <si>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</si>
  <si>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</si>
  <si>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</si>
  <si>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</si>
  <si>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</si>
  <si>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</si>
  <si>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</si>
  <si>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</si>
  <si>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</si>
  <si>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</si>
  <si>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</si>
  <si>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</si>
  <si>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</si>
  <si>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</si>
  <si>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</si>
  <si>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</si>
  <si>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</si>
  <si>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</si>
  <si>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</si>
  <si>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</si>
  <si>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</si>
  <si>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</si>
  <si>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</si>
  <si>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</si>
  <si>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</si>
  <si>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</si>
  <si>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</si>
  <si>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</si>
  <si>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</si>
  <si>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</si>
  <si>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</si>
  <si>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</si>
  <si>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</si>
  <si>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</si>
  <si>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</si>
  <si>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</si>
  <si>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</si>
  <si>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</si>
  <si>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</si>
  <si>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</si>
  <si>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</si>
  <si>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</si>
  <si>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</si>
  <si>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</si>
  <si>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</si>
  <si>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</si>
  <si>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</si>
  <si>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</si>
  <si>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</si>
  <si>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</si>
  <si>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</si>
  <si>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</si>
  <si>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</si>
  <si>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</si>
  <si>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</si>
  <si>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de Turismo</t>
  </si>
  <si>
    <t>Direção Regional da Saúde</t>
  </si>
  <si>
    <t>Gabinete da Secretária Regional</t>
  </si>
  <si>
    <t>Direção Regional do Património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</si>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</sst>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6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49" fontId="63" fillId="0" borderId="25" xfId="62" applyNumberFormat="1" applyFont="1" applyBorder="1" applyAlignment="1">
      <alignment horizontal="center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0" fontId="66" fillId="0" borderId="21" xfId="62" applyFont="1" applyBorder="1" applyAlignment="1">
      <alignment horizontal="center" vertic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/>
    </xf>
    <xf numFmtId="0" fontId="68" fillId="0" borderId="35" xfId="0" applyFont="1" applyBorder="1"/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U12" sqref="U12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32" sqref="E3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TABLE VII - Regional Gov. expenditure by functional classification (january-december)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2021</v>
      </c>
      <c r="E3" s="333">
        <v>2022</v>
      </c>
      <c r="F3" s="334" t="str">
        <f>+IF(Índice!$D$2=1,"Peso na estrutura
 em 2021","Weight in 2021 structure")</f>
        <v>Weight in 2021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172439.36901999998</v>
      </c>
      <c r="E5" s="34">
        <v>181612.87037000011</v>
      </c>
      <c r="F5" s="34">
        <v>12.545544289793684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11015.631030000004</v>
      </c>
      <c r="E7" s="34">
        <v>11380.060740000001</v>
      </c>
      <c r="F7" s="34">
        <v>0.78611750226373678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297321.69256</v>
      </c>
      <c r="E8" s="34">
        <v>366018.90703999996</v>
      </c>
      <c r="F8" s="34">
        <v>25.284036312058173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16066.424910000005</v>
      </c>
      <c r="E9" s="34">
        <v>17968.192750000013</v>
      </c>
      <c r="F9" s="34">
        <v>1.2412157656746736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77456.107889999985</v>
      </c>
      <c r="E10" s="34">
        <v>59459.700739999971</v>
      </c>
      <c r="F10" s="34">
        <v>4.1073868144466541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478195.05646000005</v>
      </c>
      <c r="E11" s="34">
        <v>368927.95700999984</v>
      </c>
      <c r="F11" s="34">
        <v>25.484989114387126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35937.013489999998</v>
      </c>
      <c r="E12" s="34">
        <v>36040.167400000013</v>
      </c>
      <c r="F12" s="34">
        <v>2.4896006291135984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365405.09451000026</v>
      </c>
      <c r="E13" s="34">
        <v>386864.3383200001</v>
      </c>
      <c r="F13" s="34">
        <v>26.72400739356965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24644.14014</v>
      </c>
      <c r="E14" s="34">
        <v>19356.271760000011</v>
      </c>
      <c r="F14" s="34">
        <v>1.3371021786927044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1478480.5300100003</v>
      </c>
      <c r="E17" s="145">
        <v>1447628.4661300001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49861.615769999997</v>
      </c>
      <c r="E20" s="152">
        <v>49575.064700000003</v>
      </c>
      <c r="F20" s="152">
        <v>3.4245710042253381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262944.15425000002</v>
      </c>
      <c r="E21" s="283">
        <v>530582.77517000004</v>
      </c>
      <c r="F21" s="283">
        <v>36.651861135918871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E32" sqref="E3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TABLE VIII - Budget execution by organic and economic cross-classification (january-december)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25</v>
      </c>
    </row>
    <row r="4" spans="2:18" ht="27" customHeight="1">
      <c r="C4" s="253" t="str">
        <f>+IF(Índice!$D$2=1,"Despesa corrente","Current expenditure")</f>
        <v>Current expenditure</v>
      </c>
      <c r="D4" s="194">
        <v>13540</v>
      </c>
      <c r="E4" s="194">
        <v>2674.3449999999998</v>
      </c>
      <c r="F4" s="194">
        <v>412573.07386999996</v>
      </c>
      <c r="G4" s="194">
        <v>44316.708209999997</v>
      </c>
      <c r="H4" s="194">
        <v>164466.02837999997</v>
      </c>
      <c r="I4" s="194">
        <v>372017.93471999996</v>
      </c>
      <c r="J4" s="194">
        <v>35799.88003</v>
      </c>
      <c r="K4" s="194">
        <v>27429.786919999999</v>
      </c>
      <c r="L4" s="194">
        <v>18043.938989999999</v>
      </c>
      <c r="M4" s="194">
        <v>7079.9009399999995</v>
      </c>
      <c r="N4" s="194">
        <v>26504.000680000001</v>
      </c>
      <c r="O4" s="194">
        <v>102642.32068000002</v>
      </c>
      <c r="P4" s="194">
        <v>1227087.9184199998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1687.4605699999997</v>
      </c>
      <c r="F5" s="196">
        <v>316608.76980999997</v>
      </c>
      <c r="G5" s="196">
        <v>6419.7742200000021</v>
      </c>
      <c r="H5" s="196">
        <v>27583.452770000004</v>
      </c>
      <c r="I5" s="196">
        <v>4908.9391500000011</v>
      </c>
      <c r="J5" s="196">
        <v>11575.369770000005</v>
      </c>
      <c r="K5" s="196">
        <v>5296.6625400000012</v>
      </c>
      <c r="L5" s="196">
        <v>5543.5473199999988</v>
      </c>
      <c r="M5" s="196">
        <v>5530.0967799999999</v>
      </c>
      <c r="N5" s="196">
        <v>17110.546819999996</v>
      </c>
      <c r="O5" s="196">
        <v>15092.6216</v>
      </c>
      <c r="P5" s="196">
        <v>417357.24134999997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1304.6132599999999</v>
      </c>
      <c r="F6" s="198">
        <v>253498.84060999998</v>
      </c>
      <c r="G6" s="198">
        <v>5168.4235200000021</v>
      </c>
      <c r="H6" s="198">
        <v>21484.690310000009</v>
      </c>
      <c r="I6" s="198">
        <v>3852.1651500000007</v>
      </c>
      <c r="J6" s="198">
        <v>9304.895220000004</v>
      </c>
      <c r="K6" s="198">
        <v>4127.5388500000008</v>
      </c>
      <c r="L6" s="198">
        <v>4488.0451699999994</v>
      </c>
      <c r="M6" s="198">
        <v>4354.7386100000003</v>
      </c>
      <c r="N6" s="198">
        <v>13468.652239999998</v>
      </c>
      <c r="O6" s="198">
        <v>12041.236779999999</v>
      </c>
      <c r="P6" s="198">
        <v>333093.83972000005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22.670070000000003</v>
      </c>
      <c r="F7" s="198">
        <v>3093.447020000001</v>
      </c>
      <c r="G7" s="198">
        <v>54.430960000000006</v>
      </c>
      <c r="H7" s="198">
        <v>877.79180000000019</v>
      </c>
      <c r="I7" s="198">
        <v>128.20097999999999</v>
      </c>
      <c r="J7" s="198">
        <v>85.059659999999994</v>
      </c>
      <c r="K7" s="198">
        <v>196.60629999999995</v>
      </c>
      <c r="L7" s="198">
        <v>34.372599999999998</v>
      </c>
      <c r="M7" s="198">
        <v>157.64909</v>
      </c>
      <c r="N7" s="198">
        <v>377.30012000000005</v>
      </c>
      <c r="O7" s="198">
        <v>219.58972999999997</v>
      </c>
      <c r="P7" s="198">
        <v>5247.1183300000002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360.17723999999998</v>
      </c>
      <c r="F8" s="198">
        <v>60016.482179999992</v>
      </c>
      <c r="G8" s="198">
        <v>1196.91974</v>
      </c>
      <c r="H8" s="198">
        <v>5220.9706599999972</v>
      </c>
      <c r="I8" s="198">
        <v>928.57302000000004</v>
      </c>
      <c r="J8" s="198">
        <v>2185.41489</v>
      </c>
      <c r="K8" s="198">
        <v>972.51738999999986</v>
      </c>
      <c r="L8" s="198">
        <v>1021.1295499999999</v>
      </c>
      <c r="M8" s="198">
        <v>1017.7090800000001</v>
      </c>
      <c r="N8" s="198">
        <v>3264.5944600000003</v>
      </c>
      <c r="O8" s="198">
        <v>2831.795090000001</v>
      </c>
      <c r="P8" s="198">
        <v>79016.283299999981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926.53882999999996</v>
      </c>
      <c r="F9" s="196">
        <v>22862.956019999991</v>
      </c>
      <c r="G9" s="196">
        <v>1424.4917399999997</v>
      </c>
      <c r="H9" s="196">
        <v>30397.882749999964</v>
      </c>
      <c r="I9" s="196">
        <v>1053.1880699999999</v>
      </c>
      <c r="J9" s="196">
        <v>7353.2986400000009</v>
      </c>
      <c r="K9" s="196">
        <v>432.67946000000012</v>
      </c>
      <c r="L9" s="196">
        <v>1434.3565899999999</v>
      </c>
      <c r="M9" s="196">
        <v>1259.4056399999999</v>
      </c>
      <c r="N9" s="196">
        <v>3317.34663</v>
      </c>
      <c r="O9" s="196">
        <v>82102.83934000002</v>
      </c>
      <c r="P9" s="196">
        <v>152564.98370999997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150.55237</v>
      </c>
      <c r="F10" s="198">
        <v>14332.338739999988</v>
      </c>
      <c r="G10" s="198">
        <v>174.07025999999999</v>
      </c>
      <c r="H10" s="198">
        <v>585.17129999999975</v>
      </c>
      <c r="I10" s="198">
        <v>70.665519999999987</v>
      </c>
      <c r="J10" s="198">
        <v>1725.8669499999999</v>
      </c>
      <c r="K10" s="198">
        <v>10.299589999999998</v>
      </c>
      <c r="L10" s="198">
        <v>31.740879999999994</v>
      </c>
      <c r="M10" s="198">
        <v>92.34032000000002</v>
      </c>
      <c r="N10" s="198">
        <v>812.77030999999965</v>
      </c>
      <c r="O10" s="198">
        <v>2144.8587899999998</v>
      </c>
      <c r="P10" s="198">
        <v>20130.675029999988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775.98645999999997</v>
      </c>
      <c r="F11" s="198">
        <v>8530.6172800000004</v>
      </c>
      <c r="G11" s="198">
        <v>1250.4214799999997</v>
      </c>
      <c r="H11" s="198">
        <v>29812.711449999966</v>
      </c>
      <c r="I11" s="198">
        <v>982.52255000000002</v>
      </c>
      <c r="J11" s="198">
        <v>5627.4316900000013</v>
      </c>
      <c r="K11" s="198">
        <v>422.3798700000001</v>
      </c>
      <c r="L11" s="198">
        <v>1402.6157099999998</v>
      </c>
      <c r="M11" s="198">
        <v>1167.0653199999999</v>
      </c>
      <c r="N11" s="198">
        <v>2504.5763200000001</v>
      </c>
      <c r="O11" s="198">
        <v>79957.980550000022</v>
      </c>
      <c r="P11" s="198">
        <v>132434.30867999999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11.295159999999999</v>
      </c>
      <c r="G12" s="198">
        <v>7.0010000000000003E-2</v>
      </c>
      <c r="H12" s="198">
        <v>100854.32568000001</v>
      </c>
      <c r="I12" s="198">
        <v>1.0359999999999999E-2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78.886570000000006</v>
      </c>
      <c r="P12" s="198">
        <v>100944.93530000001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13540</v>
      </c>
      <c r="E13" s="196">
        <v>60.345600000000005</v>
      </c>
      <c r="F13" s="196">
        <v>73047.584770000016</v>
      </c>
      <c r="G13" s="196">
        <v>10152.298559999997</v>
      </c>
      <c r="H13" s="196">
        <v>4739.2999399999999</v>
      </c>
      <c r="I13" s="196">
        <v>366050.40256999998</v>
      </c>
      <c r="J13" s="196">
        <v>16865.181199999995</v>
      </c>
      <c r="K13" s="196">
        <v>21700.444919999998</v>
      </c>
      <c r="L13" s="196">
        <v>9219.9942200000005</v>
      </c>
      <c r="M13" s="196">
        <v>92.964069999999992</v>
      </c>
      <c r="N13" s="196">
        <v>6043.5746500000005</v>
      </c>
      <c r="O13" s="196">
        <v>5325.9464099999996</v>
      </c>
      <c r="P13" s="196">
        <v>526838.03690999991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13540</v>
      </c>
      <c r="E14" s="200">
        <v>0</v>
      </c>
      <c r="F14" s="200">
        <v>17175.973180000005</v>
      </c>
      <c r="G14" s="200">
        <v>9634.3778799999982</v>
      </c>
      <c r="H14" s="200">
        <v>1858.8722599999999</v>
      </c>
      <c r="I14" s="200">
        <v>362859.08768</v>
      </c>
      <c r="J14" s="200">
        <v>74.877710000000008</v>
      </c>
      <c r="K14" s="200">
        <v>10552.80832</v>
      </c>
      <c r="L14" s="200">
        <v>9210.5062400000006</v>
      </c>
      <c r="M14" s="200">
        <v>0</v>
      </c>
      <c r="N14" s="200">
        <v>4251.50749</v>
      </c>
      <c r="O14" s="200">
        <v>5183.9693699999998</v>
      </c>
      <c r="P14" s="200">
        <v>434341.98012999998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13540</v>
      </c>
      <c r="E16" s="198">
        <v>0</v>
      </c>
      <c r="F16" s="198">
        <v>17175.973180000005</v>
      </c>
      <c r="G16" s="198">
        <v>9634.3778799999982</v>
      </c>
      <c r="H16" s="198">
        <v>1858.8722599999999</v>
      </c>
      <c r="I16" s="198">
        <v>362659.08768</v>
      </c>
      <c r="J16" s="198">
        <v>0</v>
      </c>
      <c r="K16" s="198">
        <v>10552.80832</v>
      </c>
      <c r="L16" s="198">
        <v>9210.5062400000006</v>
      </c>
      <c r="M16" s="198">
        <v>0</v>
      </c>
      <c r="N16" s="198">
        <v>4251.50749</v>
      </c>
      <c r="O16" s="198">
        <v>5183.9693699999998</v>
      </c>
      <c r="P16" s="198">
        <v>434067.10242000001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60.345600000000005</v>
      </c>
      <c r="F19" s="200">
        <v>55871.611590000015</v>
      </c>
      <c r="G19" s="200">
        <v>517.92067999999995</v>
      </c>
      <c r="H19" s="200">
        <v>2880.4276799999998</v>
      </c>
      <c r="I19" s="200">
        <v>3191.3148900000001</v>
      </c>
      <c r="J19" s="200">
        <v>16790.303489999995</v>
      </c>
      <c r="K19" s="200">
        <v>11147.636599999998</v>
      </c>
      <c r="L19" s="200">
        <v>9.4879800000000003</v>
      </c>
      <c r="M19" s="200">
        <v>92.964069999999992</v>
      </c>
      <c r="N19" s="200">
        <v>1792.0671600000001</v>
      </c>
      <c r="O19" s="200">
        <v>141.97703999999999</v>
      </c>
      <c r="P19" s="200">
        <v>92496.056780000028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17650.687379999996</v>
      </c>
      <c r="G20" s="198">
        <v>419.5</v>
      </c>
      <c r="H20" s="198">
        <v>2366.35295</v>
      </c>
      <c r="I20" s="198">
        <v>0</v>
      </c>
      <c r="J20" s="198">
        <v>175.55</v>
      </c>
      <c r="K20" s="198">
        <v>0</v>
      </c>
      <c r="L20" s="198">
        <v>0</v>
      </c>
      <c r="M20" s="198">
        <v>0</v>
      </c>
      <c r="N20" s="198">
        <v>687.37199999999996</v>
      </c>
      <c r="O20" s="198">
        <v>0</v>
      </c>
      <c r="P20" s="198">
        <v>21299.462329999995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31884.437610000012</v>
      </c>
      <c r="G22" s="198">
        <v>65</v>
      </c>
      <c r="H22" s="198">
        <v>35.49653</v>
      </c>
      <c r="I22" s="198">
        <v>3148</v>
      </c>
      <c r="J22" s="198">
        <v>16279.170259999995</v>
      </c>
      <c r="K22" s="198">
        <v>10357.554339999999</v>
      </c>
      <c r="L22" s="198">
        <v>0.3</v>
      </c>
      <c r="M22" s="198">
        <v>75.5</v>
      </c>
      <c r="N22" s="198">
        <v>981.774</v>
      </c>
      <c r="O22" s="198">
        <v>0</v>
      </c>
      <c r="P22" s="198">
        <v>62851.732740000014</v>
      </c>
    </row>
    <row r="23" spans="2:16" hidden="1">
      <c r="B23" s="195"/>
      <c r="C23" s="104">
        <v>0</v>
      </c>
      <c r="D23" s="198">
        <v>0</v>
      </c>
      <c r="E23" s="198">
        <v>4.8456000000000001</v>
      </c>
      <c r="F23" s="198">
        <v>6333.1866</v>
      </c>
      <c r="G23" s="198">
        <v>33.420679999999997</v>
      </c>
      <c r="H23" s="198">
        <v>460.11419999999998</v>
      </c>
      <c r="I23" s="198">
        <v>43.314890000000005</v>
      </c>
      <c r="J23" s="198">
        <v>310.51823000000002</v>
      </c>
      <c r="K23" s="198">
        <v>790.08226000000002</v>
      </c>
      <c r="L23" s="198">
        <v>9.1879799999999996</v>
      </c>
      <c r="M23" s="198">
        <v>17.46407</v>
      </c>
      <c r="N23" s="198">
        <v>122.92116000000001</v>
      </c>
      <c r="O23" s="198">
        <v>141.97703999999999</v>
      </c>
      <c r="P23" s="198">
        <v>8267.0327099999995</v>
      </c>
    </row>
    <row r="24" spans="2:16" hidden="1">
      <c r="B24" s="195"/>
      <c r="C24" s="187">
        <v>0</v>
      </c>
      <c r="D24" s="198">
        <v>0</v>
      </c>
      <c r="E24" s="198">
        <v>31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77.828999999999994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26317.711229999997</v>
      </c>
      <c r="H25" s="198">
        <v>0</v>
      </c>
      <c r="I25" s="198">
        <v>0</v>
      </c>
      <c r="J25" s="198">
        <v>0</v>
      </c>
      <c r="K25" s="198">
        <v>0</v>
      </c>
      <c r="L25" s="198">
        <v>1830.1369999999999</v>
      </c>
      <c r="M25" s="198">
        <v>173.78713999999991</v>
      </c>
      <c r="N25" s="198">
        <v>9.5643200000000004</v>
      </c>
      <c r="O25" s="198">
        <v>0</v>
      </c>
      <c r="P25" s="198">
        <v>28331.199689999998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42.468110000000003</v>
      </c>
      <c r="G26" s="198">
        <v>2.3624499999999999</v>
      </c>
      <c r="H26" s="198">
        <v>891.06723999999997</v>
      </c>
      <c r="I26" s="198">
        <v>5.3945699999999999</v>
      </c>
      <c r="J26" s="198">
        <v>5.6829000000000001</v>
      </c>
      <c r="K26" s="198">
        <v>0</v>
      </c>
      <c r="L26" s="198">
        <v>15.90386</v>
      </c>
      <c r="M26" s="198">
        <v>23.647310000000001</v>
      </c>
      <c r="N26" s="198">
        <v>22.968260000000001</v>
      </c>
      <c r="O26" s="198">
        <v>42.026760000000003</v>
      </c>
      <c r="P26" s="198">
        <v>1051.5214599999999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60</v>
      </c>
      <c r="E27" s="32">
        <v>21.16957</v>
      </c>
      <c r="F27" s="32">
        <v>5354.9895799999995</v>
      </c>
      <c r="G27" s="32">
        <v>76540.711489999972</v>
      </c>
      <c r="H27" s="32">
        <v>4263.9138399999983</v>
      </c>
      <c r="I27" s="32">
        <v>1243.91524</v>
      </c>
      <c r="J27" s="32">
        <v>1386.2492999999999</v>
      </c>
      <c r="K27" s="32">
        <v>1437.1204</v>
      </c>
      <c r="L27" s="32">
        <v>2924.6206999999999</v>
      </c>
      <c r="M27" s="32">
        <v>582.87016999999992</v>
      </c>
      <c r="N27" s="32">
        <v>9307.3680799999984</v>
      </c>
      <c r="O27" s="32">
        <v>117417.61934000005</v>
      </c>
      <c r="P27" s="32">
        <v>220540.54771000001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21.16957</v>
      </c>
      <c r="F28" s="198">
        <v>2284.01377</v>
      </c>
      <c r="G28" s="198">
        <v>87.19165000000001</v>
      </c>
      <c r="H28" s="198">
        <v>3661.9689199999984</v>
      </c>
      <c r="I28" s="198">
        <v>4.7484000000000002</v>
      </c>
      <c r="J28" s="198">
        <v>1367.4992999999999</v>
      </c>
      <c r="K28" s="198">
        <v>52.186759999999992</v>
      </c>
      <c r="L28" s="198">
        <v>207.01060000000004</v>
      </c>
      <c r="M28" s="198">
        <v>387.30158999999992</v>
      </c>
      <c r="N28" s="198">
        <v>404.71330000000006</v>
      </c>
      <c r="O28" s="198">
        <v>105438.89298000005</v>
      </c>
      <c r="P28" s="198">
        <v>113916.69684000005</v>
      </c>
    </row>
    <row r="29" spans="2:16" ht="15" customHeight="1">
      <c r="C29" s="104" t="str">
        <f>+IF(Índice!$D$2=1,"Transferências capital","Capital transfers")</f>
        <v>Capital transfers</v>
      </c>
      <c r="D29" s="196">
        <v>60</v>
      </c>
      <c r="E29" s="196">
        <v>0</v>
      </c>
      <c r="F29" s="196">
        <v>3070.9758099999999</v>
      </c>
      <c r="G29" s="196">
        <v>76453.519839999979</v>
      </c>
      <c r="H29" s="196">
        <v>601.94492000000002</v>
      </c>
      <c r="I29" s="196">
        <v>1239.1668400000001</v>
      </c>
      <c r="J29" s="196">
        <v>18.75</v>
      </c>
      <c r="K29" s="196">
        <v>1384.93364</v>
      </c>
      <c r="L29" s="196">
        <v>2717.6100999999999</v>
      </c>
      <c r="M29" s="196">
        <v>195.56858</v>
      </c>
      <c r="N29" s="196">
        <v>8902.6547799999989</v>
      </c>
      <c r="O29" s="196">
        <v>11978.726360000001</v>
      </c>
      <c r="P29" s="196">
        <v>106623.85086999999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60</v>
      </c>
      <c r="E30" s="200">
        <v>0</v>
      </c>
      <c r="F30" s="200">
        <v>1018.21502</v>
      </c>
      <c r="G30" s="200">
        <v>76453.519839999979</v>
      </c>
      <c r="H30" s="200">
        <v>601.94492000000002</v>
      </c>
      <c r="I30" s="200">
        <v>1239.1668400000001</v>
      </c>
      <c r="J30" s="200">
        <v>0</v>
      </c>
      <c r="K30" s="200">
        <v>71.88364</v>
      </c>
      <c r="L30" s="200">
        <v>499.23930999999999</v>
      </c>
      <c r="M30" s="200">
        <v>195.56858</v>
      </c>
      <c r="N30" s="200">
        <v>8902.6547799999989</v>
      </c>
      <c r="O30" s="200">
        <v>6132.2781499999992</v>
      </c>
      <c r="P30" s="200">
        <v>95174.471079999988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195.56858</v>
      </c>
      <c r="N31" s="198">
        <v>8131.6155199999994</v>
      </c>
      <c r="O31" s="198">
        <v>0</v>
      </c>
      <c r="P31" s="198">
        <v>8327.1840999999986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60</v>
      </c>
      <c r="E32" s="198">
        <v>0</v>
      </c>
      <c r="F32" s="198">
        <v>1018.21502</v>
      </c>
      <c r="G32" s="198">
        <v>76453.519839999979</v>
      </c>
      <c r="H32" s="198">
        <v>50.995580000000004</v>
      </c>
      <c r="I32" s="198">
        <v>1239.1668400000001</v>
      </c>
      <c r="J32" s="198">
        <v>0</v>
      </c>
      <c r="K32" s="198">
        <v>71.88364</v>
      </c>
      <c r="L32" s="198">
        <v>499.23930999999999</v>
      </c>
      <c r="M32" s="198">
        <v>0</v>
      </c>
      <c r="N32" s="198">
        <v>771.03926000000001</v>
      </c>
      <c r="O32" s="198">
        <v>6132.2781499999992</v>
      </c>
      <c r="P32" s="198">
        <v>86296.337639999998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550.94934000000001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550.94934000000001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2052.7607899999998</v>
      </c>
      <c r="G35" s="200">
        <v>0</v>
      </c>
      <c r="H35" s="200">
        <v>0</v>
      </c>
      <c r="I35" s="200">
        <v>0</v>
      </c>
      <c r="J35" s="200">
        <v>18.75</v>
      </c>
      <c r="K35" s="200">
        <v>1313.05</v>
      </c>
      <c r="L35" s="200">
        <v>2218.3707899999999</v>
      </c>
      <c r="M35" s="200">
        <v>0</v>
      </c>
      <c r="N35" s="200">
        <v>0</v>
      </c>
      <c r="O35" s="200">
        <v>5846.4482100000014</v>
      </c>
      <c r="P35" s="200">
        <v>11449.379790000001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13600</v>
      </c>
      <c r="E38" s="204">
        <v>2695.5145699999998</v>
      </c>
      <c r="F38" s="204">
        <v>417928.06344999996</v>
      </c>
      <c r="G38" s="204">
        <v>120857.41969999997</v>
      </c>
      <c r="H38" s="204">
        <v>168729.94221999997</v>
      </c>
      <c r="I38" s="204">
        <v>373261.84995999996</v>
      </c>
      <c r="J38" s="204">
        <v>37186.129330000003</v>
      </c>
      <c r="K38" s="204">
        <v>28866.907319999998</v>
      </c>
      <c r="L38" s="204">
        <v>20968.559689999998</v>
      </c>
      <c r="M38" s="204">
        <v>7662.7711099999997</v>
      </c>
      <c r="N38" s="204">
        <v>35811.368759999998</v>
      </c>
      <c r="O38" s="204">
        <v>220059.94002000007</v>
      </c>
      <c r="P38" s="204">
        <v>1447628.4661299998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18371.40394</v>
      </c>
      <c r="H40" s="208">
        <v>8519.347099999999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22073.09966</v>
      </c>
      <c r="P40" s="208">
        <v>49575.064700000003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530582.77517000004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530582.77517000004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153101.29079999999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dezembro","Note: Organic structure approved by Regional Legislative Decree nr. 18/2020/M of December 31st, in force under Article 19th of Regional Regulatory Decree nr. 9/2021/M of december 27th")</f>
        <v>Note: Organic structure approved by Regional Legislative Decree nr. 18/2020/M of December 31st, in force under Article 19th of Regional Regulatory Decree nr. 9/2021/M of december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TABLE IX - RPEs global balance (january-december)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12536.357869999949</v>
      </c>
      <c r="E5" s="82">
        <v>-22406.68452000001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(janeiro-dezembro)","TABLE X - ASFs and RPEs budget execution (january-december)")</f>
        <v>TABLE X - ASFs and RPEs budget execution (january-december)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13375.236599999946</v>
      </c>
      <c r="E4" s="98">
        <v>-22406.68452000001</v>
      </c>
      <c r="F4" s="98">
        <v>-9031.4479200000642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534652.08941000025</v>
      </c>
      <c r="E7" s="74">
        <v>339934.83429000003</v>
      </c>
      <c r="F7" s="74">
        <v>874586.92370000028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13606.237579999946</v>
      </c>
      <c r="E8" s="74">
        <v>-17102.964530000008</v>
      </c>
      <c r="F8" s="74">
        <v>-3496.726950000063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5694.0786199999857</v>
      </c>
      <c r="E9" s="74">
        <v>-19791.741669999959</v>
      </c>
      <c r="F9" s="74">
        <v>-14097.66305000009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7681.1579799999745</v>
      </c>
      <c r="E10" s="74">
        <v>-2614.9428500000031</v>
      </c>
      <c r="F10" s="74">
        <v>5066.2151299999678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32" sqref="E3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TABLE XI - ASFs and RPEs budget execution (january-december)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456006.29244000016</v>
      </c>
      <c r="E4" s="108">
        <v>306784.19428000005</v>
      </c>
      <c r="F4" s="108">
        <v>762790.48672000016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3618.1007099999997</v>
      </c>
      <c r="E8" s="74">
        <v>6490.6997700000002</v>
      </c>
      <c r="F8" s="74">
        <v>10108.80048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447845.02048000012</v>
      </c>
      <c r="E9" s="74">
        <v>267232.51018000004</v>
      </c>
      <c r="F9" s="74">
        <v>715077.53066000016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33463.77992999999</v>
      </c>
      <c r="E10" s="74">
        <v>2831.5955600000007</v>
      </c>
      <c r="F10" s="74">
        <v>36295.375489999991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413574.50614000019</v>
      </c>
      <c r="E11" s="74">
        <v>263172.44797000004</v>
      </c>
      <c r="F11" s="74">
        <v>676746.95411000028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3383.6017299999999</v>
      </c>
      <c r="E12" s="74">
        <v>15325.051519999999</v>
      </c>
      <c r="F12" s="74">
        <v>18708.653249999999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1159.56952</v>
      </c>
      <c r="E13" s="74">
        <v>17735.932810000002</v>
      </c>
      <c r="F13" s="74">
        <v>18895.502330000003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92252.034549999997</v>
      </c>
      <c r="E14" s="83">
        <v>16047.675479999998</v>
      </c>
      <c r="F14" s="83">
        <v>108299.71002999999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321.52983</v>
      </c>
      <c r="F15" s="34">
        <v>321.52983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92084.758919999993</v>
      </c>
      <c r="E16" s="34">
        <v>15554.061399999999</v>
      </c>
      <c r="F16" s="74">
        <v>107638.82032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18277.144979999994</v>
      </c>
      <c r="E17" s="34">
        <v>2769.7508300000004</v>
      </c>
      <c r="F17" s="74">
        <v>21046.895809999995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73807.613939999996</v>
      </c>
      <c r="E18" s="74">
        <v>12784.310569999998</v>
      </c>
      <c r="F18" s="74">
        <v>86591.924509999997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47.406889999999997</v>
      </c>
      <c r="F19" s="74">
        <v>47.406889999999997</v>
      </c>
    </row>
    <row r="20" spans="2:6" ht="11.25" customHeight="1">
      <c r="C20" s="110" t="str">
        <f>+IF(Índice!$D$2=1,"Receita efetiva","Effective revenue")</f>
        <v>Effective revenue</v>
      </c>
      <c r="D20" s="83">
        <v>548258.32699000021</v>
      </c>
      <c r="E20" s="83">
        <v>322831.86976000003</v>
      </c>
      <c r="F20" s="83">
        <v>871090.19675000024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450312.21382000018</v>
      </c>
      <c r="E22" s="83">
        <v>326575.93595000001</v>
      </c>
      <c r="F22" s="83">
        <v>776888.14977000025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49108.268569999993</v>
      </c>
      <c r="E23" s="74">
        <v>220101.11823000002</v>
      </c>
      <c r="F23" s="74">
        <v>269209.38680000004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103988.25641000009</v>
      </c>
      <c r="E24" s="74">
        <v>86125.401009999972</v>
      </c>
      <c r="F24" s="74">
        <v>190113.65742000006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231.00098</v>
      </c>
      <c r="E25" s="74">
        <v>5303.7199900000014</v>
      </c>
      <c r="F25" s="74">
        <v>5534.7209700000012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289432.27574000007</v>
      </c>
      <c r="E26" s="74">
        <v>12559.900469999995</v>
      </c>
      <c r="F26" s="74">
        <v>301992.17621000006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1824.3986300000001</v>
      </c>
      <c r="E27" s="74">
        <v>0</v>
      </c>
      <c r="F27" s="59">
        <v>1824.3986300000001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287607.87711000006</v>
      </c>
      <c r="E28" s="74">
        <v>12559.900469999995</v>
      </c>
      <c r="F28" s="59">
        <v>300167.77758000005</v>
      </c>
    </row>
    <row r="29" spans="2:6" ht="11.25" customHeight="1">
      <c r="C29" s="104" t="str">
        <f>+IF(Índice!$D$2=1,"Subsídios","Subsidies")</f>
        <v>Subsidies</v>
      </c>
      <c r="D29" s="74">
        <v>7446.9390100000019</v>
      </c>
      <c r="E29" s="74">
        <v>8.9971200000000007</v>
      </c>
      <c r="F29" s="74">
        <v>7455.9361300000019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105.47311000000002</v>
      </c>
      <c r="E30" s="74">
        <v>2476.7991300000003</v>
      </c>
      <c r="F30" s="74">
        <v>2582.2722400000002</v>
      </c>
    </row>
    <row r="31" spans="2:6" ht="11.25" customHeight="1">
      <c r="C31" s="110" t="str">
        <f>+IF(Índice!$D$2=1,"Despesa de capital","Capital expenditure")</f>
        <v>Capital expenditure</v>
      </c>
      <c r="D31" s="83">
        <v>84570.876570000022</v>
      </c>
      <c r="E31" s="83">
        <v>18662.618330000001</v>
      </c>
      <c r="F31" s="83">
        <v>103233.49490000002</v>
      </c>
    </row>
    <row r="32" spans="2:6" ht="11.25" customHeight="1">
      <c r="C32" s="104" t="str">
        <f>+IF(Índice!$D$2=1,"Investimento","Investment")</f>
        <v>Investment</v>
      </c>
      <c r="D32" s="74">
        <v>5642.4618300000029</v>
      </c>
      <c r="E32" s="74">
        <v>18388.559720000001</v>
      </c>
      <c r="F32" s="74">
        <v>24031.021550000005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78649.131080000021</v>
      </c>
      <c r="E33" s="74">
        <v>274.05860999999999</v>
      </c>
      <c r="F33" s="74">
        <v>78923.189690000014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279.28366000000005</v>
      </c>
      <c r="E34" s="59">
        <v>0</v>
      </c>
      <c r="F34" s="59">
        <v>279.28366000000005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534883.09039000026</v>
      </c>
      <c r="E36" s="83">
        <v>345238.55428000004</v>
      </c>
      <c r="F36" s="83">
        <v>880121.6446700003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7686.2452299999995</v>
      </c>
      <c r="E38" s="35">
        <v>632.89167000000009</v>
      </c>
      <c r="F38" s="35">
        <v>8319.1368999999995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37529.032020000006</v>
      </c>
      <c r="F39" s="35">
        <v>37529.032020000006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279.28366000000005</v>
      </c>
      <c r="E40" s="35">
        <v>0</v>
      </c>
      <c r="F40" s="35">
        <v>279.28366000000005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13375.236599999946</v>
      </c>
      <c r="E44" s="114">
        <v>-22406.68452000001</v>
      </c>
      <c r="F44" s="114">
        <v>-9031.4479200000642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E32" sqref="E3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2"/>
  </cols>
  <sheetData>
    <row r="1" spans="2:8">
      <c r="C1" s="302"/>
    </row>
    <row r="2" spans="2:8" ht="12.75">
      <c r="B2" s="16"/>
      <c r="C2" s="303" t="str">
        <f>+IF(Índice!$D$2=1,"QUADRO XII - Execução orçamental dos Serviços e Fundos Autónomos e EPR (dezembro)","TABLE XII - ASFs and RPEs budget execution (december)")</f>
        <v>TABLE XII - ASFs and RPEs budget execution (december)</v>
      </c>
      <c r="D2" s="304"/>
      <c r="E2" s="304"/>
      <c r="F2" s="305" t="str">
        <f>+IF(Índice!$D$2=1,"€ Milhares","€ Thousands")</f>
        <v>€ Thousands</v>
      </c>
      <c r="H2" s="286" t="str">
        <f>+IF(Índice!$D$2=1,"índice","Index")</f>
        <v>Index</v>
      </c>
    </row>
    <row r="3" spans="2:8" ht="12.75">
      <c r="B3" s="16"/>
      <c r="C3" s="306"/>
      <c r="D3" s="307" t="str">
        <f>+IF(Índice!$D$2=1,"dezembro 2022","december 2022")</f>
        <v>december 2022</v>
      </c>
      <c r="E3" s="308"/>
      <c r="F3" s="309"/>
      <c r="H3" s="310"/>
    </row>
    <row r="4" spans="2:8" ht="35.1" customHeight="1">
      <c r="C4" s="106"/>
      <c r="D4" s="311" t="str">
        <f>+IF(Índice!$D$2=1,"SFA execução mensal","ASF monthly execution")</f>
        <v>ASF monthly execution</v>
      </c>
      <c r="E4" s="312" t="str">
        <f>+IF(Índice!$D$2=1,"EPR execução mensal","RPE monthly execution")</f>
        <v>RPE monthly execution</v>
      </c>
      <c r="F4" s="313" t="str">
        <f>+IF(Índice!$D$2=1,"Total","Total")</f>
        <v>Total</v>
      </c>
    </row>
    <row r="5" spans="2:8" ht="12" customHeight="1">
      <c r="C5" s="314" t="str">
        <f>+IF(Índice!$D$2=1,"Receita corrente","Current revenue")</f>
        <v>Current revenue</v>
      </c>
      <c r="D5" s="315">
        <v>58008.765850000142</v>
      </c>
      <c r="E5" s="315">
        <v>41153.501699999993</v>
      </c>
      <c r="F5" s="315">
        <v>99162.267550000135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58008.765850000142</v>
      </c>
      <c r="E9" s="74">
        <v>41153.501699999993</v>
      </c>
      <c r="F9" s="74">
        <v>99162.267550000135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57530.82598000014</v>
      </c>
      <c r="E10" s="74">
        <v>37860.908499999998</v>
      </c>
      <c r="F10" s="74">
        <v>95391.73448000013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6236.2837100000024</v>
      </c>
      <c r="E11" s="83">
        <v>-16428.411060000006</v>
      </c>
      <c r="F11" s="83">
        <v>-10192.127350000002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0.45473999999999071</v>
      </c>
      <c r="F12" s="34">
        <v>0.45473999999999071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6231.8218100000022</v>
      </c>
      <c r="E13" s="34">
        <v>-16429.247620000006</v>
      </c>
      <c r="F13" s="74">
        <v>-10197.425810000004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64245.049560000145</v>
      </c>
      <c r="E15" s="83">
        <v>24725.090639999988</v>
      </c>
      <c r="F15" s="83">
        <v>88970.14020000014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62718.643670000223</v>
      </c>
      <c r="E17" s="83">
        <v>39293.40321999968</v>
      </c>
      <c r="F17" s="83">
        <v>102012.04688999991</v>
      </c>
    </row>
    <row r="18" spans="3:6" ht="11.25" customHeight="1">
      <c r="C18" s="104" t="str">
        <f>+IF(Índice!$D$2=1,"Consumo público","Public consumption")</f>
        <v>Public consumption</v>
      </c>
      <c r="D18" s="74">
        <v>21325.510180000059</v>
      </c>
      <c r="E18" s="74">
        <v>37101.183709999692</v>
      </c>
      <c r="F18" s="74">
        <v>58426.693889999748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5041.3126600000187</v>
      </c>
      <c r="E19" s="74">
        <v>15408.77217999974</v>
      </c>
      <c r="F19" s="74">
        <v>20450.084839999759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16284.19752000004</v>
      </c>
      <c r="E20" s="74">
        <v>21692.411529999954</v>
      </c>
      <c r="F20" s="74">
        <v>37976.609049999992</v>
      </c>
    </row>
    <row r="21" spans="3:6" ht="11.25" customHeight="1">
      <c r="C21" s="104" t="str">
        <f>+IF(Índice!$D$2=1,"Subsídios","Subsidies")</f>
        <v>Subsidies</v>
      </c>
      <c r="D21" s="74">
        <v>413.15948000000043</v>
      </c>
      <c r="E21" s="74">
        <v>1.191340000000001</v>
      </c>
      <c r="F21" s="74">
        <v>414.35082000000045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0.80524000000001983</v>
      </c>
      <c r="E22" s="74">
        <v>1109.34312</v>
      </c>
      <c r="F22" s="59">
        <v>1110.1483599999999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40979.168770000157</v>
      </c>
      <c r="E23" s="74">
        <v>1081.685049999995</v>
      </c>
      <c r="F23" s="59">
        <v>42060.853820000149</v>
      </c>
    </row>
    <row r="24" spans="3:6" ht="11.25" customHeight="1">
      <c r="C24" s="110" t="str">
        <f>+IF(Índice!$D$2=1,"Despesa de capital","Capital expenditure")</f>
        <v>Capital expenditure</v>
      </c>
      <c r="D24" s="83">
        <v>12206.90602000002</v>
      </c>
      <c r="E24" s="83">
        <v>5744.6512299999968</v>
      </c>
      <c r="F24" s="83">
        <v>17951.557250000016</v>
      </c>
    </row>
    <row r="25" spans="3:6" ht="11.25" customHeight="1">
      <c r="C25" s="104" t="str">
        <f>+IF(Índice!$D$2=1,"Investimento","Investment")</f>
        <v>Investment</v>
      </c>
      <c r="D25" s="74">
        <v>2491.2403800000034</v>
      </c>
      <c r="E25" s="74">
        <v>5744.6512299999968</v>
      </c>
      <c r="F25" s="74">
        <v>8235.8916100000006</v>
      </c>
    </row>
    <row r="26" spans="3:6" ht="11.25" customHeight="1">
      <c r="C26" s="104" t="str">
        <f>+IF(Índice!$D$2=1,"Transferências capital","Capital transfers")</f>
        <v>Capital transfers</v>
      </c>
      <c r="D26" s="74">
        <v>9436.3819800000183</v>
      </c>
      <c r="E26" s="74">
        <v>0</v>
      </c>
      <c r="F26" s="74">
        <v>9436.3819800000183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279.28366000000005</v>
      </c>
      <c r="E27" s="59">
        <v>0</v>
      </c>
      <c r="F27" s="59">
        <v>279.28366000000005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74925.549690000247</v>
      </c>
      <c r="E29" s="83">
        <v>45038.054449999676</v>
      </c>
      <c r="F29" s="83">
        <v>119963.60413999992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6" t="str">
        <f>+IF(Índice!$D$2=1,"Saldo global","Overall balance")</f>
        <v>Overall balance</v>
      </c>
      <c r="D31" s="317">
        <v>13375.236599999946</v>
      </c>
      <c r="E31" s="317">
        <v>-22406.68452000001</v>
      </c>
      <c r="F31" s="317">
        <v>-9031.4479200000642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18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E32" sqref="E3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2022 (valores acumulados)","Table XIII- Accounts payable of the Regional Administration, december (accumulated)")</f>
        <v>Table XIII- Accounts payable of the Regional Administration, december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1" t="s">
        <v>27</v>
      </c>
      <c r="D3" s="354" t="str">
        <f>+IF(Índice!$D$2=1,"dezembro 2022","december 2022")</f>
        <v>december 2022</v>
      </c>
      <c r="E3" s="354" t="str">
        <f>+IF(Índice!$D$2="PT","janeiro 2020","January")</f>
        <v>January</v>
      </c>
      <c r="F3" s="354" t="str">
        <f>+IF(Índice!$D$2="PT","janeiro 2020","January")</f>
        <v>January</v>
      </c>
      <c r="G3" s="345" t="str">
        <f>+IF(Índice!$D$2=1,"Variação face ao stock inicial de janeiro","Change from period initial stock")</f>
        <v>Change from period initial stock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Accumulated</v>
      </c>
      <c r="E4" s="353"/>
      <c r="F4" s="353"/>
      <c r="G4" s="350" t="str">
        <f>+IF(Índice!$D$2=1,"Passivo","Liabilities")</f>
        <v>Liabilities</v>
      </c>
      <c r="H4" s="350" t="str">
        <f>+IF(Índice!$D$2=1,"Contas a pagar","Accounts payable")</f>
        <v>Accounts payable</v>
      </c>
      <c r="I4" s="339" t="str">
        <f>+IF(Índice!$D$2=1,"Pagamentos em atraso","Late payments")</f>
        <v>Late payments</v>
      </c>
    </row>
    <row r="5" spans="2:11" ht="22.5">
      <c r="B5" s="29"/>
      <c r="C5" s="341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1"/>
      <c r="H5" s="351"/>
      <c r="I5" s="340"/>
    </row>
    <row r="6" spans="2:11">
      <c r="B6" s="29"/>
      <c r="C6" s="119" t="str">
        <f>+IF(Índice!$D$2=1,"Despesa corrente","Current expenditure")</f>
        <v>Current expenditure</v>
      </c>
      <c r="D6" s="162">
        <v>115201038.7000002</v>
      </c>
      <c r="E6" s="162">
        <v>105909177.2700002</v>
      </c>
      <c r="F6" s="162">
        <v>15520810.190000001</v>
      </c>
      <c r="G6" s="91">
        <v>0.96979734803985651</v>
      </c>
      <c r="H6" s="91">
        <v>1.2859708939455277</v>
      </c>
      <c r="I6" s="116">
        <v>0.41588969434687439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1059409.3199999998</v>
      </c>
      <c r="E7" s="165">
        <v>519092.80999999994</v>
      </c>
      <c r="F7" s="165">
        <v>8833.31</v>
      </c>
      <c r="G7" s="95">
        <v>0.43927046013848869</v>
      </c>
      <c r="H7" s="95">
        <v>2.0743429174680585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64541064.080000199</v>
      </c>
      <c r="E8" s="165">
        <v>63735406.130000204</v>
      </c>
      <c r="F8" s="165">
        <v>14991498.330000002</v>
      </c>
      <c r="G8" s="95">
        <v>0.62843246220679383</v>
      </c>
      <c r="H8" s="95">
        <v>0.72237521672871718</v>
      </c>
      <c r="I8" s="121">
        <v>0.42911925111919902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11116221.390000001</v>
      </c>
      <c r="E9" s="165">
        <v>4779429.3100000005</v>
      </c>
      <c r="F9" s="165">
        <v>372111.4</v>
      </c>
      <c r="G9" s="95">
        <v>-1.7605699169081279E-2</v>
      </c>
      <c r="H9" s="95">
        <v>2.649750880114099E-2</v>
      </c>
      <c r="I9" s="121">
        <v>0.1558081337761732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38145617.710000001</v>
      </c>
      <c r="E10" s="165">
        <v>36543109.649999999</v>
      </c>
      <c r="F10" s="165">
        <v>148357.15</v>
      </c>
      <c r="G10" s="95">
        <v>4.8170281097227692</v>
      </c>
      <c r="H10" s="95">
        <v>7.5025954628175935</v>
      </c>
      <c r="I10" s="121">
        <v>-4.4408920985006262E-16</v>
      </c>
    </row>
    <row r="11" spans="2:11">
      <c r="B11" s="29"/>
      <c r="C11" s="120" t="str">
        <f>+IF(Índice!$D$2=1,"Subsídios","Subsidies")</f>
        <v>Subsidies</v>
      </c>
      <c r="D11" s="165">
        <v>315024.21000000002</v>
      </c>
      <c r="E11" s="165">
        <v>315024.21000000002</v>
      </c>
      <c r="F11" s="165">
        <v>0</v>
      </c>
      <c r="G11" s="95">
        <v>0.93394703295468773</v>
      </c>
      <c r="H11" s="95">
        <v>0.93394703295468773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23701.989999999998</v>
      </c>
      <c r="E12" s="165">
        <v>17115.16</v>
      </c>
      <c r="F12" s="165">
        <v>10</v>
      </c>
      <c r="G12" s="95">
        <v>-0.69557897046002504</v>
      </c>
      <c r="H12" s="95">
        <v>-0.5723864411166768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50561374.25</v>
      </c>
      <c r="E13" s="163">
        <v>34329250.339999996</v>
      </c>
      <c r="F13" s="163">
        <v>897274.04</v>
      </c>
      <c r="G13" s="92">
        <v>0.19860328578331088</v>
      </c>
      <c r="H13" s="92">
        <v>0.51067954019050488</v>
      </c>
      <c r="I13" s="117">
        <v>6.2405210420971047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29809510.239999998</v>
      </c>
      <c r="E14" s="165">
        <v>19974771.580000002</v>
      </c>
      <c r="F14" s="165">
        <v>897274.04</v>
      </c>
      <c r="G14" s="95">
        <v>0.52740000855542468</v>
      </c>
      <c r="H14" s="95">
        <v>2.113402067479726</v>
      </c>
      <c r="I14" s="121">
        <v>6.2405210420971047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20751864.010000002</v>
      </c>
      <c r="E15" s="165">
        <v>14354478.760000002</v>
      </c>
      <c r="F15" s="165">
        <v>0</v>
      </c>
      <c r="G15" s="95">
        <v>-8.4492958810248209E-2</v>
      </c>
      <c r="H15" s="95">
        <v>-0.11982359346464644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165762412.9500002</v>
      </c>
      <c r="E17" s="164">
        <v>140238427.61000019</v>
      </c>
      <c r="F17" s="164">
        <v>16418084.230000004</v>
      </c>
      <c r="G17" s="147">
        <v>0.64663648664928419</v>
      </c>
      <c r="H17" s="147">
        <v>1.0308386758063661</v>
      </c>
      <c r="I17" s="148">
        <v>0.48100103046851972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121226226.20999999</v>
      </c>
      <c r="E19" s="164">
        <v>95714724.809999987</v>
      </c>
      <c r="F19" s="164">
        <v>2207451.3000000031</v>
      </c>
      <c r="G19" s="147">
        <v>0.78316083231257849</v>
      </c>
      <c r="H19" s="147">
        <v>1.3562973526889541</v>
      </c>
      <c r="I19" s="148">
        <v>-8.2853041023110974E-2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2022 (valores acumulados)","Table XIV - Accounts payable of the Regional Gov., december (accumulated)")</f>
        <v>Table XIV - Accounts payable of the Regional Gov., december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1" t="str">
        <f>+IF(Índice!$D$2=1,"Governo Regional","Regional Government")</f>
        <v>Regional Government</v>
      </c>
      <c r="D24" s="338" t="str">
        <f>+IF(Índice!$D$2=1,"dezembro 2022","december 2022")</f>
        <v>december 2022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period initial stock")</f>
        <v>Change from period initial stock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Accumulated</v>
      </c>
      <c r="E25" s="353"/>
      <c r="F25" s="353"/>
      <c r="G25" s="350" t="str">
        <f>+IF(Índice!$D$2=1,"Passivo","Liabilities")</f>
        <v>Liabilities</v>
      </c>
      <c r="H25" s="350" t="str">
        <f>+IF(Índice!$D$2=1,"Contas a pagar","Accounts payable")</f>
        <v>Accounts payable</v>
      </c>
      <c r="I25" s="339" t="str">
        <f>+IF(Índice!$D$2=1,"Pagamentos em atraso","Late payments")</f>
        <v>Late payments</v>
      </c>
    </row>
    <row r="26" spans="2:9" ht="22.5">
      <c r="B26" s="29"/>
      <c r="C26" s="341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11581883.5</v>
      </c>
      <c r="E27" s="162">
        <v>7201334.4900000002</v>
      </c>
      <c r="F27" s="162">
        <v>1116465.7899999998</v>
      </c>
      <c r="G27" s="91">
        <v>-0.21627210785349749</v>
      </c>
      <c r="H27" s="91">
        <v>-0.23191307955217932</v>
      </c>
      <c r="I27" s="116">
        <v>-0.15154572093917662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38354002.340000004</v>
      </c>
      <c r="E28" s="163">
        <v>30839013.43</v>
      </c>
      <c r="F28" s="163">
        <v>630</v>
      </c>
      <c r="G28" s="92">
        <v>0.28977133460987403</v>
      </c>
      <c r="H28" s="172">
        <v>0.45647163098766219</v>
      </c>
      <c r="I28" s="117">
        <v>0</v>
      </c>
    </row>
    <row r="29" spans="2:9" ht="20.100000000000001" customHeight="1">
      <c r="B29" s="29"/>
      <c r="C29" s="146" t="s">
        <v>27</v>
      </c>
      <c r="D29" s="164">
        <v>49935885.840000004</v>
      </c>
      <c r="E29" s="164">
        <v>38040347.920000002</v>
      </c>
      <c r="F29" s="164">
        <v>1117095.7899999998</v>
      </c>
      <c r="G29" s="147">
        <v>0.12177672165786402</v>
      </c>
      <c r="H29" s="147">
        <v>0.24520529175866534</v>
      </c>
      <c r="I29" s="148">
        <v>-0.15147320067527859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2022 (valores acumulados)","Table XV - Accounts payable of the ASFs, december (accumulated)")</f>
        <v>Table XV - Accounts payable of the ASFs, december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2" t="str">
        <f>+IF(Índice!$D$2=1,"Serviços e Fundos Autónomos","Autonomous Services and Funds")</f>
        <v>Autonomous Services and Funds</v>
      </c>
      <c r="D33" s="338" t="str">
        <f>+IF(Índice!$D$2=1,"dezembro 2022","december 2022")</f>
        <v>december 2022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period initial stock")</f>
        <v>Change from period initial stock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Accumulated</v>
      </c>
      <c r="E34" s="348"/>
      <c r="F34" s="349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39" t="str">
        <f>+IF(Índice!$D$2=1,"Pagamentos em atraso","Late payments")</f>
        <v>Late payments</v>
      </c>
    </row>
    <row r="35" spans="2:9" ht="22.5">
      <c r="C35" s="344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Current expenditure</v>
      </c>
      <c r="D36" s="162">
        <v>53499706.890000001</v>
      </c>
      <c r="E36" s="162">
        <v>52855708.469999999</v>
      </c>
      <c r="F36" s="162">
        <v>1090355.51</v>
      </c>
      <c r="G36" s="91">
        <v>6.903405229458393</v>
      </c>
      <c r="H36" s="91">
        <v>7.8073636534820245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449093.43000000005</v>
      </c>
      <c r="E37" s="163">
        <v>449093.43000000005</v>
      </c>
      <c r="F37" s="163">
        <v>0</v>
      </c>
      <c r="G37" s="92">
        <v>12.931369243144264</v>
      </c>
      <c r="H37" s="92">
        <v>12.931369243144264</v>
      </c>
      <c r="I37" s="117">
        <v>0</v>
      </c>
    </row>
    <row r="38" spans="2:9" ht="20.100000000000001" customHeight="1">
      <c r="C38" s="146" t="s">
        <v>27</v>
      </c>
      <c r="D38" s="164">
        <v>53948800.32</v>
      </c>
      <c r="E38" s="164">
        <v>53304801.899999999</v>
      </c>
      <c r="F38" s="164">
        <v>1090355.51</v>
      </c>
      <c r="G38" s="147">
        <v>6.9319754187335176</v>
      </c>
      <c r="H38" s="147">
        <v>7.8347402809652102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dezembro de 2022 (valores acumulados)","Table XVI - Accounts payable of the RPEs, december (accumulated)")</f>
        <v>Table XVI - Accounts payable of the RPEs, december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2" t="str">
        <f>+IF(Índice!$D$2=1,"Entidades Públicas Reclassseicadas","Reclassseied Public Entities")</f>
        <v>Reclassseied Public Entities</v>
      </c>
      <c r="D42" s="338" t="str">
        <f>+IF(Índice!$D$2=1,"dezembro 2022","december 2022")</f>
        <v>december 2022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period initial stock")</f>
        <v>Change from period initial stock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Accumulated</v>
      </c>
      <c r="E43" s="348"/>
      <c r="F43" s="349"/>
      <c r="G43" s="350" t="str">
        <f>+IF(Índice!$D$2=1,"Passivo","Liabilities")</f>
        <v>Liabilities</v>
      </c>
      <c r="H43" s="350" t="str">
        <f>+IF(Índice!$D$2=1,"Contas a pagar","Accounts payable")</f>
        <v>Accounts payable</v>
      </c>
      <c r="I43" s="339" t="str">
        <f>+IF(Índice!$D$2=1,"Pagamentos em atraso","Late payments")</f>
        <v>Late payments</v>
      </c>
    </row>
    <row r="44" spans="2:9" ht="22.5">
      <c r="C44" s="344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Current expenditure</v>
      </c>
      <c r="D45" s="162">
        <v>50119448.310000204</v>
      </c>
      <c r="E45" s="162">
        <v>45852134.310000204</v>
      </c>
      <c r="F45" s="162">
        <v>13313988.890000002</v>
      </c>
      <c r="G45" s="91">
        <v>0.3569060764180072</v>
      </c>
      <c r="H45" s="91">
        <v>0.4813432622016427</v>
      </c>
      <c r="I45" s="116">
        <v>0.55616507457097564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11758278.48</v>
      </c>
      <c r="E46" s="163">
        <v>3041143.4799999991</v>
      </c>
      <c r="F46" s="163">
        <v>896644.04</v>
      </c>
      <c r="G46" s="92">
        <v>-5.2842885686161134E-2</v>
      </c>
      <c r="H46" s="92">
        <v>1.002916308774505</v>
      </c>
      <c r="I46" s="117">
        <v>6.2724084780795417</v>
      </c>
    </row>
    <row r="47" spans="2:9" ht="20.100000000000001" customHeight="1">
      <c r="C47" s="146" t="s">
        <v>27</v>
      </c>
      <c r="D47" s="164">
        <v>61877726.7900002</v>
      </c>
      <c r="E47" s="164">
        <v>48893277.7900002</v>
      </c>
      <c r="F47" s="164">
        <v>14210632.930000003</v>
      </c>
      <c r="G47" s="147">
        <v>0.25383306909276837</v>
      </c>
      <c r="H47" s="147">
        <v>0.50573191153326569</v>
      </c>
      <c r="I47" s="148">
        <v>0.63737069851327433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7"/>
  <sheetViews>
    <sheetView showGridLines="0" zoomScale="85" zoomScaleNormal="85" workbookViewId="0">
      <selection activeCell="B83" sqref="B8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102</v>
      </c>
      <c r="D2" s="174"/>
      <c r="E2" s="178" t="str">
        <f>+IF(Índice!$D$2=1,"índice","Index")</f>
        <v>Index</v>
      </c>
    </row>
    <row r="3" spans="2:5">
      <c r="B3" s="55"/>
      <c r="C3" s="321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31</v>
      </c>
      <c r="D7" s="170"/>
      <c r="E7" s="169"/>
    </row>
    <row r="8" spans="2:5">
      <c r="B8" s="195"/>
      <c r="C8" s="171" t="s">
        <v>14</v>
      </c>
      <c r="D8" s="171"/>
      <c r="E8" s="169"/>
    </row>
    <row r="9" spans="2:5">
      <c r="B9" s="195"/>
      <c r="C9" s="170" t="s">
        <v>43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34</v>
      </c>
      <c r="D11" s="170"/>
      <c r="E11" s="169"/>
    </row>
    <row r="12" spans="2:5">
      <c r="B12" s="195"/>
      <c r="C12" s="170" t="s">
        <v>57</v>
      </c>
      <c r="D12" s="170"/>
      <c r="E12" s="169"/>
    </row>
    <row r="13" spans="2:5">
      <c r="B13" s="195"/>
      <c r="C13" s="170" t="s">
        <v>50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51</v>
      </c>
      <c r="D16" s="170"/>
      <c r="E16" s="169"/>
    </row>
    <row r="17" spans="2:5">
      <c r="B17" s="195"/>
      <c r="C17" s="170" t="s">
        <v>44</v>
      </c>
      <c r="D17" s="171"/>
      <c r="E17" s="169"/>
    </row>
    <row r="18" spans="2:5">
      <c r="B18" s="195"/>
      <c r="C18" s="170" t="s">
        <v>68</v>
      </c>
      <c r="D18" s="170"/>
      <c r="E18" s="169"/>
    </row>
    <row r="19" spans="2:5">
      <c r="B19" s="195"/>
      <c r="C19" s="170" t="s">
        <v>60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58</v>
      </c>
      <c r="D21" s="170"/>
      <c r="E21" s="169"/>
    </row>
    <row r="22" spans="2:5">
      <c r="B22" s="195"/>
      <c r="C22" s="170" t="s">
        <v>59</v>
      </c>
      <c r="D22" s="170"/>
      <c r="E22" s="169"/>
    </row>
    <row r="23" spans="2:5">
      <c r="B23" s="195"/>
      <c r="C23" s="170" t="s">
        <v>35</v>
      </c>
      <c r="D23" s="170"/>
      <c r="E23" s="169"/>
    </row>
    <row r="24" spans="2:5">
      <c r="B24" s="195"/>
      <c r="C24" s="170" t="s">
        <v>52</v>
      </c>
      <c r="D24" s="170"/>
      <c r="E24" s="169"/>
    </row>
    <row r="25" spans="2:5">
      <c r="B25" s="195"/>
      <c r="C25" s="170" t="s">
        <v>53</v>
      </c>
      <c r="D25" s="170"/>
      <c r="E25" s="169"/>
    </row>
    <row r="26" spans="2:5">
      <c r="B26" s="195"/>
      <c r="C26" s="170" t="s">
        <v>36</v>
      </c>
      <c r="D26" s="170"/>
      <c r="E26" s="169"/>
    </row>
    <row r="27" spans="2:5">
      <c r="B27" s="195"/>
      <c r="C27" s="170" t="s">
        <v>54</v>
      </c>
      <c r="D27" s="170"/>
      <c r="E27" s="169"/>
    </row>
    <row r="28" spans="2:5">
      <c r="B28" s="195"/>
      <c r="C28" s="170" t="s">
        <v>66</v>
      </c>
      <c r="D28" s="170"/>
      <c r="E28" s="169"/>
    </row>
    <row r="29" spans="2:5">
      <c r="B29" s="55"/>
      <c r="C29" s="170" t="s">
        <v>64</v>
      </c>
      <c r="D29" s="170"/>
      <c r="E29" s="169"/>
    </row>
    <row r="30" spans="2:5">
      <c r="B30" s="55"/>
      <c r="C30" s="170" t="s">
        <v>45</v>
      </c>
      <c r="D30" s="170"/>
      <c r="E30" s="169"/>
    </row>
    <row r="31" spans="2:5">
      <c r="B31" s="55"/>
      <c r="C31" s="170" t="s">
        <v>46</v>
      </c>
      <c r="D31" s="170"/>
      <c r="E31" s="169"/>
    </row>
    <row r="32" spans="2:5">
      <c r="B32" s="55"/>
      <c r="C32" s="170" t="s">
        <v>37</v>
      </c>
      <c r="D32" s="170"/>
      <c r="E32" s="169"/>
    </row>
    <row r="33" spans="2:5">
      <c r="B33" s="55"/>
      <c r="C33" s="170" t="s">
        <v>47</v>
      </c>
      <c r="D33" s="170"/>
      <c r="E33" s="169"/>
    </row>
    <row r="34" spans="2:5">
      <c r="B34" s="55"/>
      <c r="C34" s="170" t="s">
        <v>61</v>
      </c>
      <c r="D34" s="170"/>
      <c r="E34" s="169"/>
    </row>
    <row r="35" spans="2:5">
      <c r="B35" s="55"/>
      <c r="C35" s="170" t="s">
        <v>65</v>
      </c>
      <c r="D35" s="170"/>
      <c r="E35" s="169"/>
    </row>
    <row r="36" spans="2:5">
      <c r="B36" s="55"/>
      <c r="C36" s="170" t="s">
        <v>80</v>
      </c>
      <c r="D36" s="170"/>
      <c r="E36" s="169"/>
    </row>
    <row r="37" spans="2:5">
      <c r="B37" s="55"/>
      <c r="C37" s="170" t="s">
        <v>67</v>
      </c>
      <c r="D37" s="170"/>
      <c r="E37" s="169"/>
    </row>
    <row r="38" spans="2:5">
      <c r="B38" s="55"/>
      <c r="C38" s="170" t="s">
        <v>97</v>
      </c>
      <c r="D38" s="170"/>
      <c r="E38" s="169"/>
    </row>
    <row r="39" spans="2:5">
      <c r="B39" s="55"/>
      <c r="C39" s="171" t="s">
        <v>33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62</v>
      </c>
      <c r="D42" s="170"/>
      <c r="E42" s="169"/>
    </row>
    <row r="43" spans="2:5">
      <c r="B43" s="55"/>
      <c r="C43" s="171" t="s">
        <v>91</v>
      </c>
      <c r="D43" s="171"/>
      <c r="E43" s="169"/>
    </row>
    <row r="44" spans="2:5">
      <c r="B44" s="55"/>
      <c r="C44" s="170" t="s">
        <v>32</v>
      </c>
      <c r="D44" s="170"/>
      <c r="E44" s="169"/>
    </row>
    <row r="45" spans="2:5">
      <c r="B45" s="55"/>
      <c r="C45" s="170" t="s">
        <v>40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41</v>
      </c>
      <c r="D48" s="170"/>
      <c r="E48" s="169"/>
    </row>
    <row r="49" spans="2:5">
      <c r="B49" s="55"/>
      <c r="C49" s="170" t="s">
        <v>42</v>
      </c>
      <c r="D49" s="170"/>
      <c r="E49" s="169"/>
    </row>
    <row r="50" spans="2:5">
      <c r="B50" s="55"/>
      <c r="C50" s="170" t="s">
        <v>87</v>
      </c>
      <c r="D50" s="171"/>
      <c r="E50" s="169"/>
    </row>
    <row r="51" spans="2:5">
      <c r="B51" s="55"/>
      <c r="C51" s="170" t="s">
        <v>111</v>
      </c>
      <c r="D51" s="170"/>
      <c r="E51" s="169"/>
    </row>
    <row r="52" spans="2:5">
      <c r="B52" s="55"/>
      <c r="C52" s="171" t="s">
        <v>20</v>
      </c>
      <c r="D52" s="170"/>
      <c r="E52" s="169"/>
    </row>
    <row r="53" spans="2:5">
      <c r="B53" s="55"/>
      <c r="C53" s="170" t="s">
        <v>106</v>
      </c>
      <c r="D53" s="170"/>
      <c r="E53" s="169"/>
    </row>
    <row r="54" spans="2:5">
      <c r="B54" s="55"/>
      <c r="C54" s="170" t="s">
        <v>109</v>
      </c>
      <c r="D54" s="171"/>
      <c r="E54" s="169"/>
    </row>
    <row r="55" spans="2:5">
      <c r="B55" s="55"/>
      <c r="C55" s="171" t="s">
        <v>19</v>
      </c>
    </row>
    <row r="56" spans="2:5">
      <c r="B56" s="55"/>
      <c r="C56" s="170" t="s">
        <v>104</v>
      </c>
    </row>
    <row r="57" spans="2:5">
      <c r="B57" s="55"/>
      <c r="C57" s="170" t="s">
        <v>108</v>
      </c>
    </row>
    <row r="58" spans="2:5">
      <c r="B58" s="55"/>
      <c r="C58" s="170" t="s">
        <v>100</v>
      </c>
    </row>
    <row r="59" spans="2:5">
      <c r="B59" s="55"/>
      <c r="C59" s="170" t="s">
        <v>88</v>
      </c>
    </row>
    <row r="60" spans="2:5">
      <c r="B60" s="55"/>
      <c r="C60" s="171" t="s">
        <v>17</v>
      </c>
    </row>
    <row r="61" spans="2:5">
      <c r="B61" s="55"/>
      <c r="C61" s="170" t="s">
        <v>110</v>
      </c>
    </row>
    <row r="62" spans="2:5">
      <c r="B62" s="55"/>
      <c r="C62" s="170" t="s">
        <v>105</v>
      </c>
    </row>
    <row r="63" spans="2:5">
      <c r="B63" s="55"/>
      <c r="C63" s="170" t="s">
        <v>103</v>
      </c>
    </row>
    <row r="64" spans="2:5">
      <c r="B64" s="55"/>
      <c r="C64" s="170" t="s">
        <v>92</v>
      </c>
    </row>
    <row r="65" spans="2:3">
      <c r="B65" s="55"/>
      <c r="C65" s="171" t="s">
        <v>16</v>
      </c>
    </row>
    <row r="66" spans="2:3">
      <c r="B66" s="55"/>
      <c r="C66" s="170" t="s">
        <v>69</v>
      </c>
    </row>
    <row r="67" spans="2:3">
      <c r="B67" s="55"/>
      <c r="C67" s="171" t="s">
        <v>38</v>
      </c>
    </row>
    <row r="68" spans="2:3">
      <c r="B68" s="55"/>
      <c r="C68" s="170" t="s">
        <v>89</v>
      </c>
    </row>
    <row r="69" spans="2:3">
      <c r="B69" s="55"/>
      <c r="C69" s="170" t="s">
        <v>107</v>
      </c>
    </row>
    <row r="70" spans="2:3">
      <c r="B70" s="55"/>
      <c r="C70" s="170" t="s">
        <v>98</v>
      </c>
    </row>
    <row r="71" spans="2:3">
      <c r="B71" s="55"/>
      <c r="C71" s="171" t="s">
        <v>15</v>
      </c>
    </row>
    <row r="72" spans="2:3">
      <c r="B72" s="55"/>
      <c r="C72" s="170" t="s">
        <v>63</v>
      </c>
    </row>
    <row r="73" spans="2:3">
      <c r="B73" s="55"/>
      <c r="C73" s="170" t="s">
        <v>101</v>
      </c>
    </row>
    <row r="74" spans="2:3">
      <c r="B74" s="55"/>
      <c r="C74" s="171" t="s">
        <v>18</v>
      </c>
    </row>
    <row r="75" spans="2:3">
      <c r="B75" s="55"/>
      <c r="C75" s="170" t="s">
        <v>48</v>
      </c>
    </row>
    <row r="76" spans="2:3">
      <c r="B76" s="55"/>
      <c r="C76" s="170" t="s">
        <v>12</v>
      </c>
    </row>
    <row r="77" spans="2:3">
      <c r="B77" s="55"/>
      <c r="C77" s="170" t="s">
        <v>3</v>
      </c>
    </row>
    <row r="78" spans="2:3">
      <c r="B78" s="55"/>
      <c r="C78" s="170" t="s">
        <v>79</v>
      </c>
    </row>
    <row r="79" spans="2:3">
      <c r="B79" s="55"/>
      <c r="C79" s="170" t="s">
        <v>39</v>
      </c>
    </row>
    <row r="80" spans="2:3">
      <c r="B80" s="55"/>
      <c r="C80" s="275"/>
    </row>
    <row r="81" spans="2:3" ht="13.5" customHeight="1">
      <c r="B81" s="55"/>
      <c r="C81" s="355"/>
    </row>
    <row r="82" spans="2:3">
      <c r="B82" s="55"/>
      <c r="C82" s="275"/>
    </row>
    <row r="83" spans="2:3" ht="30.75" customHeight="1">
      <c r="B83" s="16"/>
      <c r="C83" s="322" t="s">
        <v>55</v>
      </c>
    </row>
    <row r="84" spans="2:3">
      <c r="B84" s="55"/>
      <c r="C84" s="171" t="s">
        <v>1</v>
      </c>
    </row>
    <row r="85" spans="2:3">
      <c r="B85" s="55"/>
      <c r="C85" s="170" t="s">
        <v>1</v>
      </c>
    </row>
    <row r="86" spans="2:3">
      <c r="B86" s="55"/>
      <c r="C86" s="171" t="s">
        <v>14</v>
      </c>
    </row>
    <row r="87" spans="2:3">
      <c r="B87" s="55"/>
      <c r="C87" s="170" t="s">
        <v>71</v>
      </c>
    </row>
    <row r="88" spans="2:3">
      <c r="B88" s="55"/>
      <c r="C88" s="170" t="s">
        <v>93</v>
      </c>
    </row>
    <row r="89" spans="2:3">
      <c r="B89" s="55"/>
      <c r="C89" s="170" t="s">
        <v>72</v>
      </c>
    </row>
    <row r="90" spans="2:3">
      <c r="B90" s="55"/>
      <c r="C90" s="170" t="s">
        <v>82</v>
      </c>
    </row>
    <row r="91" spans="2:3">
      <c r="B91" s="55"/>
      <c r="C91" s="171" t="s">
        <v>33</v>
      </c>
    </row>
    <row r="92" spans="2:3">
      <c r="B92" s="55"/>
      <c r="C92" s="170" t="s">
        <v>81</v>
      </c>
    </row>
    <row r="93" spans="2:3">
      <c r="B93" s="55"/>
      <c r="C93" s="170" t="s">
        <v>70</v>
      </c>
    </row>
    <row r="94" spans="2:3">
      <c r="B94" s="55"/>
      <c r="C94" s="171" t="s">
        <v>91</v>
      </c>
    </row>
    <row r="95" spans="2:3">
      <c r="B95" s="55"/>
      <c r="C95" s="170" t="s">
        <v>7</v>
      </c>
    </row>
    <row r="96" spans="2:3">
      <c r="B96" s="55"/>
      <c r="C96" s="170" t="s">
        <v>6</v>
      </c>
    </row>
    <row r="97" spans="2:3">
      <c r="B97" s="55"/>
      <c r="C97" s="170" t="s">
        <v>94</v>
      </c>
    </row>
    <row r="98" spans="2:3">
      <c r="B98" s="55"/>
      <c r="C98" s="170" t="s">
        <v>77</v>
      </c>
    </row>
    <row r="99" spans="2:3">
      <c r="B99" s="55"/>
      <c r="C99" s="171" t="s">
        <v>20</v>
      </c>
    </row>
    <row r="100" spans="2:3">
      <c r="B100" s="55"/>
      <c r="C100" s="170" t="s">
        <v>73</v>
      </c>
    </row>
    <row r="101" spans="2:3">
      <c r="B101" s="55"/>
      <c r="C101" s="171" t="s">
        <v>17</v>
      </c>
    </row>
    <row r="102" spans="2:3">
      <c r="B102" s="55"/>
      <c r="C102" s="170" t="s">
        <v>76</v>
      </c>
    </row>
    <row r="103" spans="2:3">
      <c r="B103" s="55"/>
      <c r="C103" s="170" t="s">
        <v>49</v>
      </c>
    </row>
    <row r="104" spans="2:3">
      <c r="B104" s="55"/>
      <c r="C104" s="170" t="s">
        <v>13</v>
      </c>
    </row>
    <row r="105" spans="2:3">
      <c r="B105" s="55"/>
      <c r="C105" s="171" t="s">
        <v>16</v>
      </c>
    </row>
    <row r="106" spans="2:3">
      <c r="B106" s="55"/>
      <c r="C106" s="170" t="s">
        <v>75</v>
      </c>
    </row>
    <row r="107" spans="2:3">
      <c r="B107" s="55"/>
      <c r="C107" s="171" t="s">
        <v>15</v>
      </c>
    </row>
    <row r="108" spans="2:3">
      <c r="B108" s="55"/>
      <c r="C108" s="170" t="s">
        <v>99</v>
      </c>
    </row>
    <row r="109" spans="2:3">
      <c r="B109" s="55"/>
      <c r="C109" s="170" t="s">
        <v>74</v>
      </c>
    </row>
    <row r="110" spans="2:3">
      <c r="B110" s="55"/>
      <c r="C110" s="171" t="s">
        <v>18</v>
      </c>
    </row>
    <row r="111" spans="2:3">
      <c r="B111" s="55"/>
      <c r="C111" s="170" t="s">
        <v>49</v>
      </c>
    </row>
    <row r="112" spans="2:3">
      <c r="B112" s="55"/>
      <c r="C112" s="170" t="s">
        <v>85</v>
      </c>
    </row>
    <row r="113" spans="2:3">
      <c r="B113" s="55"/>
      <c r="C113" s="170" t="s">
        <v>84</v>
      </c>
    </row>
    <row r="114" spans="2:3">
      <c r="B114" s="55"/>
      <c r="C114" s="170" t="s">
        <v>90</v>
      </c>
    </row>
    <row r="115" spans="2:3">
      <c r="B115" s="55"/>
      <c r="C115" s="170" t="s">
        <v>83</v>
      </c>
    </row>
    <row r="116" spans="2:3">
      <c r="B116" s="55"/>
      <c r="C116" s="323"/>
    </row>
    <row r="117" spans="2:3">
      <c r="B117" s="55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O20" sqref="O20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15" sqref="A15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(january-december)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(january-december)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19" t="str">
        <f>+Q3_Global_M!C2</f>
        <v>TABLE III - Regional Gov. budget execution (december)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(january-december)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(january-december)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(january-december)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(january-december)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(january-december)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(january-december)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(january-december)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(january-december)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(december)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december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december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december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december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285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3" display="'Pagamentos_Atraso '!B83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  <hyperlink ref="A8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TABLE I - Consolidated budget execution (january-december)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2022","Consolidated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1237400.15885</v>
      </c>
      <c r="E5" s="57">
        <v>456006.29244000016</v>
      </c>
      <c r="F5" s="57">
        <v>306784.19428000005</v>
      </c>
      <c r="G5" s="57">
        <v>1323482.5754800001</v>
      </c>
      <c r="H5" s="57">
        <v>14.178537342017329</v>
      </c>
    </row>
    <row r="6" spans="1:10" ht="11.25" customHeight="1">
      <c r="C6" s="68" t="str">
        <f>+IF(Índice!$D$2=1,"Impostos diretos","Direct taxes")</f>
        <v>Direct taxes</v>
      </c>
      <c r="D6" s="56">
        <v>364950.58743999997</v>
      </c>
      <c r="E6" s="56">
        <v>0</v>
      </c>
      <c r="F6" s="56">
        <v>0</v>
      </c>
      <c r="G6" s="56">
        <v>364950.58743999997</v>
      </c>
      <c r="H6" s="56">
        <v>26.403459780463368</v>
      </c>
    </row>
    <row r="7" spans="1:10">
      <c r="C7" s="68" t="str">
        <f>+IF(Índice!$D$2=1,"Impostos indiretos","Indirect taxes")</f>
        <v>Indirect taxes</v>
      </c>
      <c r="D7" s="56">
        <v>647636.90007000021</v>
      </c>
      <c r="E7" s="56">
        <v>0</v>
      </c>
      <c r="F7" s="56">
        <v>0</v>
      </c>
      <c r="G7" s="56">
        <v>647636.90007000021</v>
      </c>
      <c r="H7" s="56">
        <v>10.60554226804471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224812.67133999997</v>
      </c>
      <c r="E9" s="56">
        <v>456006.29244000016</v>
      </c>
      <c r="F9" s="56">
        <v>306784.19428000005</v>
      </c>
      <c r="G9" s="56">
        <v>310884.47507000004</v>
      </c>
      <c r="H9" s="56">
        <v>9.1289928676373311</v>
      </c>
    </row>
    <row r="10" spans="1:10">
      <c r="C10" s="69" t="str">
        <f>+IF(Índice!$D$2=1,"Transferências correntes","Current transfers")</f>
        <v>Current transfers</v>
      </c>
      <c r="D10" s="56">
        <v>187027.67051999999</v>
      </c>
      <c r="E10" s="56">
        <v>447845.02048000012</v>
      </c>
      <c r="F10" s="56">
        <v>267232.51018000004</v>
      </c>
      <c r="G10" s="56">
        <v>225386.51818999997</v>
      </c>
      <c r="H10" s="56">
        <v>3.4063035844439593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186290.11048999996</v>
      </c>
      <c r="E11" s="56">
        <v>806.73441000000003</v>
      </c>
      <c r="F11" s="56">
        <v>1228.4666500000001</v>
      </c>
      <c r="G11" s="56">
        <v>188325.31154999995</v>
      </c>
      <c r="H11" s="56">
        <v>-5.9395129000998415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413546.23502000008</v>
      </c>
      <c r="F12" s="56">
        <v>263172.44796999998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10.6129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100814.48613</v>
      </c>
      <c r="E14" s="57">
        <v>92252.034549999997</v>
      </c>
      <c r="F14" s="57">
        <v>16047.675479999998</v>
      </c>
      <c r="G14" s="57">
        <v>122538.57485999999</v>
      </c>
      <c r="H14" s="57">
        <v>-9.568967945265916</v>
      </c>
    </row>
    <row r="15" spans="1:10">
      <c r="C15" s="68" t="str">
        <f>+IF(Índice!$D$2=1,"Venda de bens de investimento","Sale of investment goods")</f>
        <v>Sale of investment goods</v>
      </c>
      <c r="D15" s="56">
        <v>4447.8396599999996</v>
      </c>
      <c r="E15" s="56">
        <v>0</v>
      </c>
      <c r="F15" s="56">
        <v>321.52983</v>
      </c>
      <c r="G15" s="56">
        <v>4769.36949</v>
      </c>
      <c r="H15" s="56">
        <v>114.51852676455539</v>
      </c>
    </row>
    <row r="16" spans="1:10" ht="11.25" customHeight="1">
      <c r="C16" s="68" t="str">
        <f>+IF(Índice!$D$2=1,"Transferências capital","Capital transfers")</f>
        <v>Capital transfers</v>
      </c>
      <c r="D16" s="56">
        <v>85269.454190000004</v>
      </c>
      <c r="E16" s="56">
        <v>92084.758919999993</v>
      </c>
      <c r="F16" s="56">
        <v>15554.061399999999</v>
      </c>
      <c r="G16" s="56">
        <v>106316.35000000002</v>
      </c>
      <c r="H16" s="56">
        <v>-17.933046587337987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50919.161189999999</v>
      </c>
      <c r="E17" s="56">
        <v>0</v>
      </c>
      <c r="F17" s="56">
        <v>0</v>
      </c>
      <c r="G17" s="56">
        <v>50919.161189999999</v>
      </c>
      <c r="H17" s="56">
        <v>-0.62367237433267331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73807.613939999996</v>
      </c>
      <c r="F18" s="56">
        <v>12784.31057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16.303209999999126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1338214.6449800001</v>
      </c>
      <c r="E20" s="57">
        <v>548258.32699000021</v>
      </c>
      <c r="F20" s="57">
        <v>322831.86976000003</v>
      </c>
      <c r="G20" s="57">
        <v>1446021.1503400002</v>
      </c>
      <c r="H20" s="57">
        <v>11.692975649871084</v>
      </c>
    </row>
    <row r="21" spans="3:8" ht="20.25" customHeight="1">
      <c r="C21" s="220" t="str">
        <f>+IF(Índice!$D$2=1,"Despesa corrente","Current expenditure")</f>
        <v>Current expenditure</v>
      </c>
      <c r="D21" s="220">
        <v>1227087.91842</v>
      </c>
      <c r="E21" s="220">
        <v>450312.21382000018</v>
      </c>
      <c r="F21" s="220">
        <v>326575.93595000001</v>
      </c>
      <c r="G21" s="220">
        <v>1327246.7722999998</v>
      </c>
      <c r="H21" s="220">
        <v>-0.62010333605803103</v>
      </c>
    </row>
    <row r="22" spans="3:8" ht="10.5" customHeight="1">
      <c r="C22" s="68" t="str">
        <f>+IF(Índice!$D$2=1,"Consumo público","Public consumption")</f>
        <v>Public consumption</v>
      </c>
      <c r="D22" s="56">
        <v>570973.74652000004</v>
      </c>
      <c r="E22" s="56">
        <v>153201.9980900001</v>
      </c>
      <c r="F22" s="56">
        <v>308703.31836999999</v>
      </c>
      <c r="G22" s="56">
        <v>1032879.0629800002</v>
      </c>
      <c r="H22" s="56">
        <v>-2.4101642452659888</v>
      </c>
    </row>
    <row r="23" spans="3:8">
      <c r="C23" s="69" t="str">
        <f>+IF(Índice!$D$2=1,"Despesas com o pessoal","Compensation of employees")</f>
        <v>Compensation of employees</v>
      </c>
      <c r="D23" s="56">
        <v>417357.24135000008</v>
      </c>
      <c r="E23" s="56">
        <v>49108.268569999993</v>
      </c>
      <c r="F23" s="56">
        <v>220101.11823000002</v>
      </c>
      <c r="G23" s="56">
        <v>686566.62815000012</v>
      </c>
      <c r="H23" s="56">
        <v>2.014096468043669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153616.50516999993</v>
      </c>
      <c r="E24" s="56">
        <v>104093.7295200001</v>
      </c>
      <c r="F24" s="56">
        <v>88602.200139999972</v>
      </c>
      <c r="G24" s="56">
        <v>346312.43483000004</v>
      </c>
      <c r="H24" s="56">
        <v>-10.136579953510749</v>
      </c>
    </row>
    <row r="25" spans="3:8">
      <c r="C25" s="68" t="str">
        <f>+IF(Índice!$D$2=1,"Subsídios","Subsidies")</f>
        <v>Subsidies</v>
      </c>
      <c r="D25" s="56">
        <v>28331.19968999999</v>
      </c>
      <c r="E25" s="56">
        <v>7446.9390100000019</v>
      </c>
      <c r="F25" s="56">
        <v>8.9971200000000007</v>
      </c>
      <c r="G25" s="56">
        <v>35776.522919999996</v>
      </c>
      <c r="H25" s="56">
        <v>-10.615966011390398</v>
      </c>
    </row>
    <row r="26" spans="3:8">
      <c r="C26" s="68" t="str">
        <f>+IF(Índice!$D$2=1,"Juros e outros encargos","Interests and other charges")</f>
        <v>Interests and other charges</v>
      </c>
      <c r="D26" s="56">
        <v>100944.9353</v>
      </c>
      <c r="E26" s="56">
        <v>231.00098</v>
      </c>
      <c r="F26" s="56">
        <v>5303.7199900000014</v>
      </c>
      <c r="G26" s="56">
        <v>106479.65626999999</v>
      </c>
      <c r="H26" s="56">
        <v>22.679313988186788</v>
      </c>
    </row>
    <row r="27" spans="3:8">
      <c r="C27" s="68" t="str">
        <f>+IF(Índice!$D$2=1,"Transferências correntes","Current transfers")</f>
        <v>Current transfers</v>
      </c>
      <c r="D27" s="56">
        <v>526838.03690999979</v>
      </c>
      <c r="E27" s="56">
        <v>289432.27574000007</v>
      </c>
      <c r="F27" s="56">
        <v>12559.900469999995</v>
      </c>
      <c r="G27" s="56">
        <v>142584.23838999984</v>
      </c>
      <c r="H27" s="56">
        <v>-0.70002305813677834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274.87770999999998</v>
      </c>
      <c r="E28" s="56">
        <v>1824.3986300000001</v>
      </c>
      <c r="F28" s="56">
        <v>0</v>
      </c>
      <c r="G28" s="56">
        <v>2099.2763400000003</v>
      </c>
      <c r="H28" s="56">
        <v>-5.4862651622012653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434067.10241999995</v>
      </c>
      <c r="E29" s="56">
        <v>252173.08082999999</v>
      </c>
      <c r="F29" s="56">
        <v>5.7914800000000008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9527.2917399998987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220540.54771000022</v>
      </c>
      <c r="E31" s="57">
        <v>84570.876570000022</v>
      </c>
      <c r="F31" s="57">
        <v>18662.618330000001</v>
      </c>
      <c r="G31" s="57">
        <v>237198.42131000024</v>
      </c>
      <c r="H31" s="57">
        <v>7.131164200437845</v>
      </c>
    </row>
    <row r="32" spans="3:8">
      <c r="C32" s="68" t="str">
        <f>+IF(Índice!$D$2=1,"Investimento","Investment")</f>
        <v>Investment</v>
      </c>
      <c r="D32" s="56">
        <v>113916.69684000021</v>
      </c>
      <c r="E32" s="56">
        <v>5642.4618300000029</v>
      </c>
      <c r="F32" s="56">
        <v>18388.559720000001</v>
      </c>
      <c r="G32" s="56">
        <v>137947.71839000023</v>
      </c>
      <c r="H32" s="56">
        <v>-0.84977976318363346</v>
      </c>
    </row>
    <row r="33" spans="3:8">
      <c r="C33" s="68" t="str">
        <f>+IF(Índice!$D$2=1,"Transferências capital","Capital transfers")</f>
        <v>Capital transfers</v>
      </c>
      <c r="D33" s="56">
        <v>106623.85087000001</v>
      </c>
      <c r="E33" s="56">
        <v>78649.131080000021</v>
      </c>
      <c r="F33" s="56">
        <v>274.05860999999999</v>
      </c>
      <c r="G33" s="56">
        <v>98971.419260000024</v>
      </c>
      <c r="H33" s="56">
        <v>20.523350720932743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8878.1334399999996</v>
      </c>
      <c r="E34" s="56">
        <v>0</v>
      </c>
      <c r="F34" s="56">
        <v>0</v>
      </c>
      <c r="G34" s="56">
        <v>8878.1334399999996</v>
      </c>
      <c r="H34" s="56">
        <v>-6.4743994766732538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86296.337639999998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279.28366000000005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1447628.4661300001</v>
      </c>
      <c r="E38" s="86">
        <v>534883.09039000026</v>
      </c>
      <c r="F38" s="86">
        <v>345238.55428000004</v>
      </c>
      <c r="G38" s="86">
        <v>1564445.19361</v>
      </c>
      <c r="H38" s="86">
        <v>0.4873957606757795</v>
      </c>
    </row>
    <row r="39" spans="3:8" ht="17.25" customHeight="1">
      <c r="C39" s="138" t="str">
        <f>+IF(Índice!$D$2=1,"Saldo global","Overall balance")</f>
        <v>Overall balance</v>
      </c>
      <c r="D39" s="139">
        <v>-109413.82114999997</v>
      </c>
      <c r="E39" s="139">
        <v>13375.236599999946</v>
      </c>
      <c r="F39" s="139">
        <v>-22406.68452000001</v>
      </c>
      <c r="G39" s="139">
        <v>-118424.04326999979</v>
      </c>
      <c r="H39" s="139">
        <v>54.83753467323654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10312.240430000005</v>
      </c>
      <c r="E41" s="19">
        <v>5694.0786199999857</v>
      </c>
      <c r="F41" s="19">
        <v>-19791.741669999959</v>
      </c>
      <c r="G41" s="19">
        <v>-3764.1968199997209</v>
      </c>
      <c r="H41" s="19">
        <v>97.866030697455813</v>
      </c>
    </row>
    <row r="42" spans="3:8">
      <c r="C42" s="68" t="str">
        <f>+IF(Índice!$D$2=1,"Despesa corrente primária","Primary current expenditure")</f>
        <v>Primary current expenditure</v>
      </c>
      <c r="D42" s="19">
        <v>1126142.98312</v>
      </c>
      <c r="E42" s="19">
        <v>450081.21284000017</v>
      </c>
      <c r="F42" s="19">
        <v>321272.21596</v>
      </c>
      <c r="G42" s="19">
        <v>1220767.1160299999</v>
      </c>
      <c r="H42" s="19">
        <v>-2.239564975862407</v>
      </c>
    </row>
    <row r="43" spans="3:8">
      <c r="C43" s="68" t="str">
        <f>+IF(Índice!$D$2=1,"Saldo corrente primário","Primary current balance")</f>
        <v>Primary current balance</v>
      </c>
      <c r="D43" s="19">
        <v>111257.17573000002</v>
      </c>
      <c r="E43" s="19">
        <v>5925.0795999999973</v>
      </c>
      <c r="F43" s="19">
        <v>-14488.021679999947</v>
      </c>
      <c r="G43" s="19">
        <v>102715.4594500002</v>
      </c>
      <c r="H43" s="19">
        <v>214.63904058885257</v>
      </c>
    </row>
    <row r="44" spans="3:8">
      <c r="C44" s="68" t="str">
        <f>+IF(Índice!$D$2=1,"Saldo de capital","Capital balance")</f>
        <v>Capital balance</v>
      </c>
      <c r="D44" s="19">
        <v>-119726.06158000021</v>
      </c>
      <c r="E44" s="19">
        <v>7681.1579799999745</v>
      </c>
      <c r="F44" s="19">
        <v>-2614.9428500000031</v>
      </c>
      <c r="G44" s="19">
        <v>-114659.84645000024</v>
      </c>
      <c r="H44" s="19">
        <v>-33.599275320206921</v>
      </c>
    </row>
    <row r="45" spans="3:8">
      <c r="C45" s="68" t="str">
        <f t="array" ref="C45">+IF(Índice!$D$2=1,"Despesa primária","Primary expenditure")</f>
        <v>Primary expenditure</v>
      </c>
      <c r="D45" s="19">
        <v>1346683.5308300001</v>
      </c>
      <c r="E45" s="19">
        <v>534652.08941000025</v>
      </c>
      <c r="F45" s="19">
        <v>339934.83429000003</v>
      </c>
      <c r="G45" s="19">
        <v>1457965.53734</v>
      </c>
      <c r="H45" s="19">
        <v>-0.82285520354519193</v>
      </c>
    </row>
    <row r="46" spans="3:8">
      <c r="C46" s="221" t="str">
        <f>+IF(Índice!$D$2=1,"Saldo primário","Primary balance")</f>
        <v>Primary balance</v>
      </c>
      <c r="D46" s="132">
        <v>-8468.8858499999624</v>
      </c>
      <c r="E46" s="132">
        <v>13606.237579999957</v>
      </c>
      <c r="F46" s="132">
        <v>-17102.964529999997</v>
      </c>
      <c r="G46" s="132">
        <v>-11944.386999999871</v>
      </c>
      <c r="H46" s="132">
        <v>93.191083467423653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TABLE II - Regional Gov. budget execution (january-december)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1108299.92714</v>
      </c>
      <c r="E5" s="225">
        <v>1237400.15885</v>
      </c>
      <c r="F5" s="225">
        <v>11.648492303265501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873992.29579999996</v>
      </c>
      <c r="E6" s="231">
        <v>1012587.4875100001</v>
      </c>
      <c r="F6" s="231">
        <v>15.857713205942915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288467.70723</v>
      </c>
      <c r="E7" s="231">
        <v>364950.58743999997</v>
      </c>
      <c r="F7" s="231">
        <v>26.513498146611923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585524.58857000002</v>
      </c>
      <c r="E8" s="231">
        <v>647636.90007000021</v>
      </c>
      <c r="F8" s="231">
        <v>10.607976626855976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234307.63133999999</v>
      </c>
      <c r="E9" s="231">
        <v>224812.67133999997</v>
      </c>
      <c r="F9" s="231">
        <v>-4.0523477386112283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94111.078529999984</v>
      </c>
      <c r="E10" s="232">
        <v>100814.48613</v>
      </c>
      <c r="F10" s="232">
        <v>7.1228676843429817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1202411.0056700001</v>
      </c>
      <c r="E12" s="232">
        <v>1338214.6449800001</v>
      </c>
      <c r="F12" s="232">
        <v>11.294277802649377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1299054.9001700003</v>
      </c>
      <c r="E14" s="232">
        <v>1227087.9184199998</v>
      </c>
      <c r="F14" s="232">
        <v>-5.5399492154321273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396602.60165000008</v>
      </c>
      <c r="E15" s="231">
        <v>417357.24134999985</v>
      </c>
      <c r="F15" s="231">
        <v>5.2331073002682027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135432.11332000009</v>
      </c>
      <c r="E16" s="231">
        <v>152564.98370999994</v>
      </c>
      <c r="F16" s="231">
        <v>12.650522811763377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79848.741619999986</v>
      </c>
      <c r="E17" s="231">
        <v>100944.9353</v>
      </c>
      <c r="F17" s="231">
        <v>26.420195549726699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657148.35019999999</v>
      </c>
      <c r="E18" s="231">
        <v>526838.03690999991</v>
      </c>
      <c r="F18" s="231">
        <v>-19.829664527095105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556353.59200000006</v>
      </c>
      <c r="E19" s="231">
        <v>434341.98012999992</v>
      </c>
      <c r="F19" s="231">
        <v>-21.930587601922081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100794.75819999998</v>
      </c>
      <c r="E20" s="231">
        <v>92496.056780000014</v>
      </c>
      <c r="F20" s="231">
        <v>-8.2332668565298199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29434.11953</v>
      </c>
      <c r="E21" s="231">
        <v>28331.19968999999</v>
      </c>
      <c r="F21" s="231">
        <v>-3.747079435740841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588.97385000000008</v>
      </c>
      <c r="E22" s="231">
        <v>1051.5214599999995</v>
      </c>
      <c r="F22" s="231">
        <v>78.534490113610204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179425.62983999992</v>
      </c>
      <c r="E23" s="232">
        <v>220540.54771000019</v>
      </c>
      <c r="F23" s="232">
        <v>22.914740723866412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112583.39795999991</v>
      </c>
      <c r="E24" s="231">
        <v>113916.69684000021</v>
      </c>
      <c r="F24" s="231">
        <v>1.1842766377277103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66842.231880000007</v>
      </c>
      <c r="E25" s="231">
        <v>106623.85086999999</v>
      </c>
      <c r="F25" s="231">
        <v>59.515695199135202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53815.001220000006</v>
      </c>
      <c r="E26" s="231">
        <v>95174.471080000003</v>
      </c>
      <c r="F26" s="231">
        <v>76.854908338511791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13027.230659999997</v>
      </c>
      <c r="E27" s="231">
        <v>11449.379789999999</v>
      </c>
      <c r="F27" s="231">
        <v>-12.111943905658906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1478480.5300100001</v>
      </c>
      <c r="E29" s="235">
        <v>1447628.4661300001</v>
      </c>
      <c r="F29" s="235">
        <v>-2.0867413032345739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-276069.52434000018</v>
      </c>
      <c r="E31" s="139">
        <v>-109413.82114999995</v>
      </c>
      <c r="F31" s="139">
        <v>60.367294647398793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-190754.97303000023</v>
      </c>
      <c r="E33" s="19">
        <v>10312.240430000238</v>
      </c>
      <c r="F33" s="19">
        <v>105.40601393829895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-85314.551309999937</v>
      </c>
      <c r="E34" s="19">
        <v>-119726.06158000018</v>
      </c>
      <c r="F34" s="19">
        <v>-40.334866375798171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-196220.78272000019</v>
      </c>
      <c r="E35" s="19">
        <v>-8468.8858499999478</v>
      </c>
      <c r="F35" s="19">
        <v>95.684001596260714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49861.615769999997</v>
      </c>
      <c r="E36" s="106">
        <v>49575.064700000003</v>
      </c>
      <c r="F36" s="106">
        <v>-0.5746927081580866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B2" sqref="B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TABLE III - Regional Gov. budget execution (december)</v>
      </c>
      <c r="D2" s="224"/>
      <c r="E2" s="225"/>
      <c r="F2" s="49" t="str">
        <f>+IF(Índice!$D$2=1,"€ Milhares","€ Thousands")</f>
        <v>€ Thousands</v>
      </c>
      <c r="G2"/>
      <c r="H2" s="286" t="str">
        <f>+IF(Índice!$D$2=1,"índice","Index")</f>
        <v>Index</v>
      </c>
      <c r="K2" s="18"/>
      <c r="Z2" s="7"/>
      <c r="AC2" s="18"/>
    </row>
    <row r="3" spans="2:29" ht="35.1" customHeight="1">
      <c r="C3" s="287"/>
      <c r="D3" s="288">
        <v>2020</v>
      </c>
      <c r="E3" s="288">
        <v>2021</v>
      </c>
      <c r="F3" s="289" t="str">
        <f>+IF(Índice!$D$2=1,"VH (%)","yoy variation (%)")</f>
        <v>yoy variation (%)</v>
      </c>
      <c r="G3"/>
      <c r="H3" s="23"/>
      <c r="Z3" s="7"/>
      <c r="AC3" s="18"/>
    </row>
    <row r="4" spans="2:29" ht="6.75" customHeight="1">
      <c r="C4" s="101"/>
      <c r="D4" s="290"/>
      <c r="E4" s="291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146057.98351000025</v>
      </c>
      <c r="E5" s="225">
        <v>161994.68235000022</v>
      </c>
      <c r="F5" s="225">
        <v>10.911213791274088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141194.66996000026</v>
      </c>
      <c r="E6" s="231">
        <v>157691.7337900002</v>
      </c>
      <c r="F6" s="231">
        <v>11.683914013661756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78342.623659999968</v>
      </c>
      <c r="E7" s="231">
        <v>88538.14115999997</v>
      </c>
      <c r="F7" s="231">
        <v>13.014010794746467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62852.046300000307</v>
      </c>
      <c r="E8" s="231">
        <v>69153.592630000232</v>
      </c>
      <c r="F8" s="231">
        <v>10.026000267233769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4863.3135500000089</v>
      </c>
      <c r="E9" s="231">
        <v>4302.9485600000198</v>
      </c>
      <c r="F9" s="231">
        <v>-11.522287926510266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12920.942889999977</v>
      </c>
      <c r="E10" s="232">
        <v>3154.0883600000038</v>
      </c>
      <c r="F10" s="232">
        <v>-75.589332861759829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158978.92640000023</v>
      </c>
      <c r="E12" s="232">
        <v>165148.77071000022</v>
      </c>
      <c r="F12" s="232">
        <v>3.8809195971523325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2"/>
      <c r="M13" s="293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193006.63488</v>
      </c>
      <c r="E14" s="232">
        <v>144186.7082500004</v>
      </c>
      <c r="F14" s="232">
        <v>-25.294429209831527</v>
      </c>
      <c r="G14"/>
      <c r="H14" s="23"/>
      <c r="K14" s="23"/>
      <c r="M14" s="294">
        <v>0</v>
      </c>
      <c r="N14" s="295"/>
      <c r="O14" s="295"/>
      <c r="P14" s="295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39611.354200000882</v>
      </c>
      <c r="E15" s="231">
        <v>41106.968770000458</v>
      </c>
      <c r="F15" s="231">
        <v>3.7757218863260666</v>
      </c>
      <c r="G15"/>
      <c r="H15" s="23"/>
      <c r="N15" s="295"/>
      <c r="O15" s="295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7727.2266299999801</v>
      </c>
      <c r="E16" s="231">
        <v>9751.4559600000084</v>
      </c>
      <c r="F16" s="231">
        <v>26.196065249868749</v>
      </c>
      <c r="G16"/>
      <c r="H16" s="23"/>
      <c r="I16" s="24"/>
      <c r="N16" s="295"/>
      <c r="O16" s="295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15984.997799999983</v>
      </c>
      <c r="E17" s="231">
        <v>13490.453500000014</v>
      </c>
      <c r="F17" s="231">
        <v>-15.605534209081783</v>
      </c>
      <c r="G17"/>
      <c r="H17" s="23"/>
      <c r="I17" s="24"/>
      <c r="N17" s="295"/>
      <c r="O17" s="295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123455.32701999915</v>
      </c>
      <c r="E18" s="231">
        <v>74836.70376999992</v>
      </c>
      <c r="F18" s="231">
        <v>-39.381551548701708</v>
      </c>
      <c r="G18"/>
      <c r="H18" s="23"/>
      <c r="I18" s="24"/>
      <c r="N18" s="295"/>
      <c r="O18" s="295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6067.5357300000042</v>
      </c>
      <c r="E19" s="231">
        <v>4864.4275199999847</v>
      </c>
      <c r="F19" s="231">
        <v>-19.828613518523419</v>
      </c>
      <c r="G19"/>
      <c r="H19" s="23"/>
      <c r="I19" s="24"/>
      <c r="N19" s="295"/>
      <c r="O19" s="295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160.19350000000011</v>
      </c>
      <c r="E20" s="231">
        <v>136.69872999999964</v>
      </c>
      <c r="F20" s="231">
        <v>-14.666493958868775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46215.281449999922</v>
      </c>
      <c r="E21" s="232">
        <v>40979.285210000096</v>
      </c>
      <c r="F21" s="232">
        <v>-11.329577740783902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34273.303179999915</v>
      </c>
      <c r="E22" s="231">
        <v>25805.922450000093</v>
      </c>
      <c r="F22" s="231">
        <v>-24.705470276763219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11941.978270000011</v>
      </c>
      <c r="E23" s="231">
        <v>15173.362760000005</v>
      </c>
      <c r="F23" s="231">
        <v>27.059038435178739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6">
        <v>239221.91632999992</v>
      </c>
      <c r="E25" s="296">
        <v>185165.99346000049</v>
      </c>
      <c r="F25" s="296">
        <v>-22.59655958755501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7" t="str">
        <f>+IF(Índice!$D$2=1,"Saldo global","Overall balance")</f>
        <v>Overall balance</v>
      </c>
      <c r="D27" s="298">
        <v>-80242.989929999691</v>
      </c>
      <c r="E27" s="298">
        <v>-20017.222750000277</v>
      </c>
      <c r="F27" s="298">
        <v>75.054241164913734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-46948.651369999745</v>
      </c>
      <c r="E29" s="19">
        <v>17807.974099999818</v>
      </c>
      <c r="F29" s="19">
        <v>137.93074684862862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-33294.338559999946</v>
      </c>
      <c r="E30" s="19">
        <v>-37825.196850000095</v>
      </c>
      <c r="F30" s="19">
        <v>-13.608494674958216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-64257.992129999708</v>
      </c>
      <c r="E31" s="19">
        <v>-6526.7692500002631</v>
      </c>
      <c r="F31" s="19">
        <v>89.842867737298704</v>
      </c>
      <c r="H31" s="26"/>
      <c r="J31" s="23"/>
      <c r="K31" s="18"/>
      <c r="Z31" s="7"/>
      <c r="AC31" s="18"/>
    </row>
    <row r="32" spans="3:29" ht="12.75">
      <c r="C32" s="299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0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1"/>
      <c r="H33" s="301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TABLE IV - Regional Gov. tax revenue budget execution (january-december)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873992.29579999996</v>
      </c>
      <c r="E5" s="33">
        <v>1012587.4875100001</v>
      </c>
      <c r="F5" s="270">
        <v>0.15857713205942914</v>
      </c>
      <c r="G5" s="270">
        <v>1.0837395829342462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288467.70723</v>
      </c>
      <c r="E7" s="70">
        <v>364950.58743999997</v>
      </c>
      <c r="F7" s="271">
        <v>0.26513498146611925</v>
      </c>
      <c r="G7" s="271">
        <v>1.1833178675120473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230740.74907999998</v>
      </c>
      <c r="E8" s="70">
        <v>258863.12078</v>
      </c>
      <c r="F8" s="271">
        <v>0.12187865304298606</v>
      </c>
      <c r="G8" s="271">
        <v>1.1816247487685456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57726.958149999999</v>
      </c>
      <c r="E9" s="70">
        <v>106087.46665999999</v>
      </c>
      <c r="F9" s="271">
        <v>0.83774565748533192</v>
      </c>
      <c r="G9" s="271">
        <v>1.1874696679267944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585524.58857000002</v>
      </c>
      <c r="E11" s="70">
        <v>647636.90007000021</v>
      </c>
      <c r="F11" s="271">
        <v>0.10607976626855975</v>
      </c>
      <c r="G11" s="271">
        <v>1.0346748334487708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59775.640950000001</v>
      </c>
      <c r="E12" s="70">
        <v>42767.786289999996</v>
      </c>
      <c r="F12" s="271">
        <v>-0.28452818555682935</v>
      </c>
      <c r="G12" s="271">
        <v>0.71040489560585429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421683.03906000004</v>
      </c>
      <c r="E13" s="70">
        <v>492750.16091999999</v>
      </c>
      <c r="F13" s="271">
        <v>0.16853208518516682</v>
      </c>
      <c r="G13" s="271">
        <v>1.0765428321799304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6110.6539699999994</v>
      </c>
      <c r="E14" s="70">
        <v>5499.0146799999993</v>
      </c>
      <c r="F14" s="271">
        <v>-0.1000939167890732</v>
      </c>
      <c r="G14" s="271">
        <v>0.80842932407461987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35737.48429</v>
      </c>
      <c r="E15" s="70">
        <v>36724.206590000002</v>
      </c>
      <c r="F15" s="271">
        <v>2.7610289856807357E-2</v>
      </c>
      <c r="G15" s="271">
        <v>0.97272957205225197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7670.5385500000002</v>
      </c>
      <c r="E16" s="70">
        <v>9819.1372900000006</v>
      </c>
      <c r="F16" s="271">
        <v>0.280110545823409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54547.312919999997</v>
      </c>
      <c r="E17" s="70">
        <v>60076.594300000004</v>
      </c>
      <c r="F17" s="271">
        <v>0.10136670504941914</v>
      </c>
      <c r="G17" s="271">
        <v>1.0729297149406327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30720.036960000001</v>
      </c>
      <c r="E18" s="70">
        <v>34481.966979999997</v>
      </c>
      <c r="F18" s="271">
        <v>0.12245851217231074</v>
      </c>
      <c r="G18" s="271">
        <v>1.1375728437263335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6008.4006600000012</v>
      </c>
      <c r="E19" s="70">
        <v>6928.7742499999995</v>
      </c>
      <c r="F19" s="271">
        <v>0.15318112790434291</v>
      </c>
      <c r="G19" s="271">
        <v>1.143474736702609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328418.70986999996</v>
      </c>
      <c r="E21" s="33">
        <v>325627.15746999998</v>
      </c>
      <c r="F21" s="270">
        <v>-8.4999798004961047E-3</v>
      </c>
      <c r="G21" s="270">
        <v>0.72917065951716231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1202411.0056699999</v>
      </c>
      <c r="E23" s="139">
        <v>1338214.6449800001</v>
      </c>
      <c r="F23" s="274">
        <v>0.112942778026494</v>
      </c>
      <c r="G23" s="274">
        <v>0.96907631796928839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TABLE V - Regional Gov. non-tax revenue budget execution (january-december)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873992.29579999996</v>
      </c>
      <c r="E5" s="41">
        <v>1012587.4875100001</v>
      </c>
      <c r="F5" s="276">
        <v>0.15857713205942914</v>
      </c>
      <c r="G5" s="42">
        <v>1.0837395829342462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328418.70986999996</v>
      </c>
      <c r="E7" s="41">
        <v>325627.15746999998</v>
      </c>
      <c r="F7" s="276">
        <v>-8.4999798004961047E-3</v>
      </c>
      <c r="G7" s="42">
        <v>0.72917065951716231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234307.63133999999</v>
      </c>
      <c r="E8" s="41">
        <v>224812.67133999997</v>
      </c>
      <c r="F8" s="276">
        <v>-4.0523477386112283E-2</v>
      </c>
      <c r="G8" s="42">
        <v>0.87364652060019121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18696.211950000001</v>
      </c>
      <c r="E10" s="71">
        <v>18974.941500000001</v>
      </c>
      <c r="F10" s="278">
        <v>1.4908343505380506E-2</v>
      </c>
      <c r="G10" s="43">
        <v>0.8769628024739532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6540.2751599999992</v>
      </c>
      <c r="E11" s="71">
        <v>7831.0739800000001</v>
      </c>
      <c r="F11" s="278">
        <v>0.19736154648270188</v>
      </c>
      <c r="G11" s="43">
        <v>1.1668405234178703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199956.97916999998</v>
      </c>
      <c r="E12" s="71">
        <v>187027.67051999999</v>
      </c>
      <c r="F12" s="278">
        <v>-6.4660451981562117E-2</v>
      </c>
      <c r="G12" s="43">
        <v>0.99994955289780829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6645.2568700000002</v>
      </c>
      <c r="E13" s="47">
        <v>9219.5418199999986</v>
      </c>
      <c r="F13" s="278">
        <v>0.38738682346827003</v>
      </c>
      <c r="G13" s="43">
        <v>1.1025411631837227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2468.9081900000001</v>
      </c>
      <c r="E14" s="71">
        <v>1759.44352</v>
      </c>
      <c r="F14" s="278">
        <v>-0.2873596810418455</v>
      </c>
      <c r="G14" s="43">
        <v>5.2396890583233491E-2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94111.078529999984</v>
      </c>
      <c r="E17" s="41">
        <v>100814.48613</v>
      </c>
      <c r="F17" s="276">
        <v>7.1228676843429817E-2</v>
      </c>
      <c r="G17" s="42">
        <v>0.53271904292513561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579.56819999999993</v>
      </c>
      <c r="E18" s="71">
        <v>4447.8396599999996</v>
      </c>
      <c r="F18" s="278">
        <v>6.6744025293313198</v>
      </c>
      <c r="G18" s="43">
        <v>0.16812787175251653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90169.239329999997</v>
      </c>
      <c r="E19" s="44">
        <v>85269.454190000004</v>
      </c>
      <c r="F19" s="278">
        <v>-5.4339874400712529E-2</v>
      </c>
      <c r="G19" s="43">
        <v>0.5291799932091753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3362.2710000000002</v>
      </c>
      <c r="E21" s="47">
        <v>11095.8156</v>
      </c>
      <c r="F21" s="278">
        <v>2.3000955604114002</v>
      </c>
      <c r="G21" s="43">
        <v>6.7045620904369585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7" t="str">
        <f>+IF(Índice!$D$2=1,"Receita efetiva","Effective revenue")</f>
        <v>Effective revenue</v>
      </c>
      <c r="D23" s="298">
        <v>1202411.0056699999</v>
      </c>
      <c r="E23" s="298">
        <v>1338214.6449800001</v>
      </c>
      <c r="F23" s="320">
        <v>0.112942778026494</v>
      </c>
      <c r="G23" s="320">
        <v>0.96907631796928839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E32" sqref="E3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TABLE VI - Regional Gov. expenditure budget execution (january-december)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2021</v>
      </c>
      <c r="E3" s="330">
        <v>2022</v>
      </c>
      <c r="F3" s="153" t="s">
        <v>95</v>
      </c>
      <c r="G3" s="153" t="s">
        <v>96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1299054.9001700003</v>
      </c>
      <c r="E5" s="253">
        <v>1227087.9184199998</v>
      </c>
      <c r="F5" s="253">
        <v>86.702440795751485</v>
      </c>
      <c r="G5" s="253">
        <v>92.134654508282424</v>
      </c>
      <c r="H5" s="253">
        <v>-5.5399492154321246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396602.60165000008</v>
      </c>
      <c r="E6" s="74">
        <v>417357.24134999985</v>
      </c>
      <c r="F6" s="74">
        <v>96.11812151601211</v>
      </c>
      <c r="G6" s="74">
        <v>98.970988809094919</v>
      </c>
      <c r="H6" s="254">
        <v>5.2331073002682009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316569.26999999973</v>
      </c>
      <c r="E7" s="75">
        <v>333093.83971999999</v>
      </c>
      <c r="F7" s="75">
        <v>96.331056630370441</v>
      </c>
      <c r="G7" s="75">
        <v>99.182129723573013</v>
      </c>
      <c r="H7" s="254">
        <v>5.219890648261682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5000.0717599999989</v>
      </c>
      <c r="E8" s="75">
        <v>5247.1183299999966</v>
      </c>
      <c r="F8" s="75">
        <v>80.054381121270382</v>
      </c>
      <c r="G8" s="75">
        <v>91.241584949007887</v>
      </c>
      <c r="H8" s="254">
        <v>4.9408604887702205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75033.259889999899</v>
      </c>
      <c r="E9" s="75">
        <v>79016.283299999879</v>
      </c>
      <c r="F9" s="75">
        <v>96.508557356988817</v>
      </c>
      <c r="G9" s="75">
        <v>98.640679854254955</v>
      </c>
      <c r="H9" s="254">
        <v>5.3083438142487251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135432.11332000009</v>
      </c>
      <c r="E10" s="75">
        <v>152564.98370999994</v>
      </c>
      <c r="F10" s="75">
        <v>72.412077652039642</v>
      </c>
      <c r="G10" s="75">
        <v>82.246101575339807</v>
      </c>
      <c r="H10" s="254">
        <v>12.650522811763388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79848.741619999986</v>
      </c>
      <c r="E11" s="75">
        <v>100944.9353</v>
      </c>
      <c r="F11" s="75">
        <v>90.71887189617415</v>
      </c>
      <c r="G11" s="75">
        <v>98.435389039442285</v>
      </c>
      <c r="H11" s="254">
        <v>26.420195549726706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657148.35019999999</v>
      </c>
      <c r="E12" s="74">
        <v>526838.03690999991</v>
      </c>
      <c r="F12" s="74">
        <v>85.599505578411268</v>
      </c>
      <c r="G12" s="74">
        <v>89.200141499339495</v>
      </c>
      <c r="H12" s="254">
        <v>-19.829664527095101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556353.59200000006</v>
      </c>
      <c r="E13" s="74">
        <v>434341.98012999992</v>
      </c>
      <c r="F13" s="74">
        <v>94.156093202547524</v>
      </c>
      <c r="G13" s="74">
        <v>90.693450337805132</v>
      </c>
      <c r="H13" s="254">
        <v>-21.930587601922074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240</v>
      </c>
      <c r="E14" s="75">
        <v>274.87770999999998</v>
      </c>
      <c r="F14" s="74">
        <v>87.989763857471246</v>
      </c>
      <c r="G14" s="74">
        <v>99.99953070260004</v>
      </c>
      <c r="H14" s="254">
        <v>14.53237916666666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556113.59200000006</v>
      </c>
      <c r="E15" s="75">
        <v>434067.10241999995</v>
      </c>
      <c r="F15" s="75">
        <v>94.158940965669757</v>
      </c>
      <c r="G15" s="75">
        <v>90.688105902552707</v>
      </c>
      <c r="H15" s="254">
        <v>-21.946323797099371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112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112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100794.75819999998</v>
      </c>
      <c r="E18" s="75">
        <v>92496.056780000014</v>
      </c>
      <c r="F18" s="72">
        <v>57.005198216929443</v>
      </c>
      <c r="G18" s="72">
        <v>82.798316392299412</v>
      </c>
      <c r="H18" s="77">
        <v>-8.2332668565298164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29434.11953</v>
      </c>
      <c r="E19" s="72">
        <v>28331.19968999999</v>
      </c>
      <c r="F19" s="72">
        <v>87.396105547486385</v>
      </c>
      <c r="G19" s="72">
        <v>93.834775417482447</v>
      </c>
      <c r="H19" s="77">
        <v>-3.7470794357408437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588.97385000000008</v>
      </c>
      <c r="E20" s="72">
        <v>1051.5214599999995</v>
      </c>
      <c r="F20" s="72">
        <v>6.371813329819485</v>
      </c>
      <c r="G20" s="72">
        <v>82.120601971166579</v>
      </c>
      <c r="H20" s="77">
        <v>78.53449011361019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1219206.1585500003</v>
      </c>
      <c r="E22" s="78">
        <v>1126142.9831199998</v>
      </c>
      <c r="F22" s="78">
        <v>86.451767836938501</v>
      </c>
      <c r="G22" s="78">
        <v>91.609037705884376</v>
      </c>
      <c r="H22" s="76">
        <v>-7.6330959105948404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179425.62983999992</v>
      </c>
      <c r="E24" s="78">
        <v>220540.54771000019</v>
      </c>
      <c r="F24" s="78">
        <v>51.32971482881117</v>
      </c>
      <c r="G24" s="78">
        <v>79.484319138631207</v>
      </c>
      <c r="H24" s="76">
        <v>22.914740723866412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112583.39795999991</v>
      </c>
      <c r="E25" s="72">
        <v>113916.69684000021</v>
      </c>
      <c r="F25" s="72">
        <v>60.698089863748073</v>
      </c>
      <c r="G25" s="72">
        <v>70.104599957596449</v>
      </c>
      <c r="H25" s="77">
        <v>1.1842766377277092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66842.231880000007</v>
      </c>
      <c r="E26" s="59">
        <v>106623.85086999999</v>
      </c>
      <c r="F26" s="59">
        <v>41.757048101669852</v>
      </c>
      <c r="G26" s="59">
        <v>93.039684739320279</v>
      </c>
      <c r="H26" s="77">
        <v>59.515695199135209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53815.001220000006</v>
      </c>
      <c r="E27" s="59">
        <v>95174.471080000003</v>
      </c>
      <c r="F27" s="59">
        <v>37.773359525108127</v>
      </c>
      <c r="G27" s="59">
        <v>85.726757459861389</v>
      </c>
      <c r="H27" s="77">
        <v>76.854908338511777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7150.4294800000007</v>
      </c>
      <c r="E28" s="72">
        <v>8327.1841000000004</v>
      </c>
      <c r="F28" s="72">
        <v>94.407584157325616</v>
      </c>
      <c r="G28" s="72">
        <v>97.369060101234922</v>
      </c>
      <c r="H28" s="77">
        <v>16.457118041530556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44322.27047000001</v>
      </c>
      <c r="E29" s="72">
        <v>86296.337639999998</v>
      </c>
      <c r="F29" s="72">
        <v>34.054415915394976</v>
      </c>
      <c r="G29" s="72">
        <v>84.872731665231754</v>
      </c>
      <c r="H29" s="77">
        <v>94.701978768011372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2342.3012699999999</v>
      </c>
      <c r="E30" s="72">
        <v>550.94934000000001</v>
      </c>
      <c r="F30" s="72">
        <v>49.38624649760132</v>
      </c>
      <c r="G30" s="72">
        <v>69.634648634984828</v>
      </c>
      <c r="H30" s="77">
        <v>-76.478288806973154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1478480.5300100001</v>
      </c>
      <c r="E33" s="142">
        <v>1447628.4661300001</v>
      </c>
      <c r="F33" s="143">
        <v>80.011019814211522</v>
      </c>
      <c r="G33" s="143">
        <v>89.953580660185466</v>
      </c>
      <c r="H33" s="141">
        <v>-2.0867413032345681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49861.615769999997</v>
      </c>
      <c r="E36" s="150">
        <v>49575.064700000003</v>
      </c>
      <c r="F36" s="150">
        <v>94.541047232094314</v>
      </c>
      <c r="G36" s="150">
        <v>99.260978104688633</v>
      </c>
      <c r="H36" s="128">
        <v>-0.57469270815808959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262944.15425000002</v>
      </c>
      <c r="E37" s="150">
        <v>530582.77517000004</v>
      </c>
      <c r="F37" s="150">
        <v>99.997116676194921</v>
      </c>
      <c r="G37" s="150">
        <v>99.999708466696831</v>
      </c>
      <c r="H37" s="128">
        <v>101.78534741850036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2023-01-24T11:37:20Z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