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Janeiro\"/>
    </mc:Choice>
  </mc:AlternateContent>
  <xr:revisionPtr revIDLastSave="0" documentId="13_ncr:1_{58F247F3-2751-4D08-AA32-CABBA49BE652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 R_fiscal" sheetId="9" r:id="rId5"/>
    <sheet name="Q4_R_n_fiscal" sheetId="50" r:id="rId6"/>
    <sheet name="Q5_D_Est ECO" sheetId="10" r:id="rId7"/>
    <sheet name="Q6_D_Est_Func" sheetId="11" r:id="rId8"/>
    <sheet name="Q7_D_Est_Org" sheetId="12" r:id="rId9"/>
    <sheet name="Q8_Saldo_Global EPR" sheetId="39" r:id="rId10"/>
    <sheet name="Q9_SFA " sheetId="13" r:id="rId11"/>
    <sheet name="Q10_SFA acumulado" sheetId="51" r:id="rId12"/>
    <sheet name="Q_11_12_13_14_Compromissos" sheetId="38" r:id="rId13"/>
    <sheet name="Pagamentos_Atraso " sheetId="53" r:id="rId14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Índice!$A$1:$D$18</definedName>
    <definedName name="_xlnm.Print_Area" localSheetId="13">'Pagamentos_Atraso '!$C$1:$C$67</definedName>
    <definedName name="_xlnm.Print_Area" localSheetId="12">Q_11_12_13_14_Compromissos!$C$1:$I$48</definedName>
    <definedName name="_xlnm.Print_Area" localSheetId="2">Q1_Consolidado!$C$1:$H$53</definedName>
    <definedName name="_xlnm.Print_Area" localSheetId="11">'Q10_SFA acumulado'!$C$1:$F$45</definedName>
    <definedName name="_xlnm.Print_Area" localSheetId="3">Q2_Global_Est!$C$1:$F$38</definedName>
    <definedName name="_xlnm.Print_Area" localSheetId="4">'Q3_ R_fiscal'!$C$1:$F$24</definedName>
    <definedName name="_xlnm.Print_Area" localSheetId="5">Q4_R_n_fiscal!$C$1:$F$25</definedName>
    <definedName name="_xlnm.Print_Area" localSheetId="6">'Q5_D_Est ECO'!$C$1:$H$39</definedName>
    <definedName name="_xlnm.Print_Area" localSheetId="7">Q6_D_Est_Func!$C$1:$F$22</definedName>
    <definedName name="_xlnm.Print_Area" localSheetId="8">Q7_D_Est_Org!$C$1:$P$46</definedName>
    <definedName name="_xlnm.Print_Area" localSheetId="9">'Q8_Saldo_Global EPR'!$C$1:$E$7</definedName>
    <definedName name="_xlnm.Print_Area" localSheetId="10">'Q9_SFA '!$C$1:$F$12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6">'Q5_D_Est ECO'!$C:$C</definedName>
    <definedName name="_xlnm.Print_Titles" localSheetId="8">Q7_D_Est_Org!$C:$C</definedName>
    <definedName name="Z_0011D0C0_6BC7_4DE9_8F83_86F2D0A38DF4_.wvu.Cols" localSheetId="11" hidden="1">'Q10_SFA acumulado'!#REF!</definedName>
    <definedName name="Z_0011D0C0_6BC7_4DE9_8F83_86F2D0A38DF4_.wvu.Cols" localSheetId="4" hidden="1">'Q3_ R_fiscal'!$D:$D</definedName>
    <definedName name="Z_0011D0C0_6BC7_4DE9_8F83_86F2D0A38DF4_.wvu.Cols" localSheetId="5" hidden="1">Q4_R_n_fiscal!$D:$D</definedName>
    <definedName name="Z_0011D0C0_6BC7_4DE9_8F83_86F2D0A38DF4_.wvu.Cols" localSheetId="6" hidden="1">'Q5_D_Est ECO'!#REF!</definedName>
    <definedName name="Z_0011D0C0_6BC7_4DE9_8F83_86F2D0A38DF4_.wvu.Cols" localSheetId="10" hidden="1">'Q9_SFA '!$Q:$Q</definedName>
    <definedName name="Z_0011D0C0_6BC7_4DE9_8F83_86F2D0A38DF4_.wvu.PrintArea" localSheetId="11" hidden="1">'Q10_SFA acumulado'!$C$1:$F$46</definedName>
    <definedName name="Z_0011D0C0_6BC7_4DE9_8F83_86F2D0A38DF4_.wvu.PrintArea" localSheetId="3" hidden="1">Q2_Global_Est!$B$1:$H$37</definedName>
    <definedName name="Z_0011D0C0_6BC7_4DE9_8F83_86F2D0A38DF4_.wvu.PrintArea" localSheetId="4" hidden="1">'Q3_ R_fiscal'!#REF!</definedName>
    <definedName name="Z_0011D0C0_6BC7_4DE9_8F83_86F2D0A38DF4_.wvu.PrintArea" localSheetId="5" hidden="1">Q4_R_n_fiscal!#REF!</definedName>
    <definedName name="Z_0011D0C0_6BC7_4DE9_8F83_86F2D0A38DF4_.wvu.PrintArea" localSheetId="6" hidden="1">'Q5_D_Est ECO'!$B$1:$H$40</definedName>
    <definedName name="Z_0011D0C0_6BC7_4DE9_8F83_86F2D0A38DF4_.wvu.PrintArea" localSheetId="7" hidden="1">Q6_D_Est_Func!$B$1:$F$22</definedName>
    <definedName name="Z_0011D0C0_6BC7_4DE9_8F83_86F2D0A38DF4_.wvu.PrintArea" localSheetId="8" hidden="1">Q7_D_Est_Org!$B$1:$AG$47</definedName>
    <definedName name="Z_0011D0C0_6BC7_4DE9_8F83_86F2D0A38DF4_.wvu.PrintArea" localSheetId="10" hidden="1">'Q9_SFA '!$C$1:$R$12</definedName>
    <definedName name="Z_0011D0C0_6BC7_4DE9_8F83_86F2D0A38DF4_.wvu.PrintTitles" localSheetId="6" hidden="1">'Q5_D_Est ECO'!$C:$C</definedName>
    <definedName name="Z_0011D0C0_6BC7_4DE9_8F83_86F2D0A38DF4_.wvu.PrintTitles" localSheetId="8" hidden="1">Q7_D_Est_Org!$C:$C</definedName>
    <definedName name="Z_2EA2D52B_13B2_48C6_A647_E974628AB287_.wvu.Cols" localSheetId="11" hidden="1">'Q10_SFA acumulado'!#REF!</definedName>
    <definedName name="Z_2EA2D52B_13B2_48C6_A647_E974628AB287_.wvu.Cols" localSheetId="4" hidden="1">'Q3_ R_fiscal'!$D:$D</definedName>
    <definedName name="Z_2EA2D52B_13B2_48C6_A647_E974628AB287_.wvu.Cols" localSheetId="5" hidden="1">Q4_R_n_fiscal!$D:$D</definedName>
    <definedName name="Z_2EA2D52B_13B2_48C6_A647_E974628AB287_.wvu.Cols" localSheetId="6" hidden="1">'Q5_D_Est ECO'!#REF!</definedName>
    <definedName name="Z_2EA2D52B_13B2_48C6_A647_E974628AB287_.wvu.Cols" localSheetId="10" hidden="1">'Q9_SFA '!$Q:$Q</definedName>
    <definedName name="Z_2EA2D52B_13B2_48C6_A647_E974628AB287_.wvu.PrintArea" localSheetId="11" hidden="1">'Q10_SFA acumulado'!$C$1:$F$46</definedName>
    <definedName name="Z_2EA2D52B_13B2_48C6_A647_E974628AB287_.wvu.PrintArea" localSheetId="3" hidden="1">Q2_Global_Est!$B$1:$H$37</definedName>
    <definedName name="Z_2EA2D52B_13B2_48C6_A647_E974628AB287_.wvu.PrintArea" localSheetId="4" hidden="1">'Q3_ R_fiscal'!#REF!</definedName>
    <definedName name="Z_2EA2D52B_13B2_48C6_A647_E974628AB287_.wvu.PrintArea" localSheetId="5" hidden="1">Q4_R_n_fiscal!#REF!</definedName>
    <definedName name="Z_2EA2D52B_13B2_48C6_A647_E974628AB287_.wvu.PrintArea" localSheetId="6" hidden="1">'Q5_D_Est ECO'!$B$1:$H$40</definedName>
    <definedName name="Z_2EA2D52B_13B2_48C6_A647_E974628AB287_.wvu.PrintArea" localSheetId="7" hidden="1">Q6_D_Est_Func!$B$1:$F$22</definedName>
    <definedName name="Z_2EA2D52B_13B2_48C6_A647_E974628AB287_.wvu.PrintArea" localSheetId="8" hidden="1">Q7_D_Est_Org!$B$1:$AG$47</definedName>
    <definedName name="Z_2EA2D52B_13B2_48C6_A647_E974628AB287_.wvu.PrintArea" localSheetId="10" hidden="1">'Q9_SFA '!$C$1:$R$12</definedName>
    <definedName name="Z_2EA2D52B_13B2_48C6_A647_E974628AB287_.wvu.PrintTitles" localSheetId="6" hidden="1">'Q5_D_Est ECO'!$C:$C</definedName>
    <definedName name="Z_2EA2D52B_13B2_48C6_A647_E974628AB287_.wvu.PrintTitles" localSheetId="8" hidden="1">Q7_D_Est_Org!$C:$C</definedName>
    <definedName name="Z_397AD331_8EE9_49A3_85C5_CAAF9519E963_.wvu.Cols" localSheetId="11" hidden="1">'Q10_SFA acumulado'!#REF!</definedName>
    <definedName name="Z_397AD331_8EE9_49A3_85C5_CAAF9519E963_.wvu.Cols" localSheetId="4" hidden="1">'Q3_ R_fiscal'!$D:$D</definedName>
    <definedName name="Z_397AD331_8EE9_49A3_85C5_CAAF9519E963_.wvu.Cols" localSheetId="5" hidden="1">Q4_R_n_fiscal!$D:$D</definedName>
    <definedName name="Z_397AD331_8EE9_49A3_85C5_CAAF9519E963_.wvu.Cols" localSheetId="6" hidden="1">'Q5_D_Est ECO'!#REF!</definedName>
    <definedName name="Z_397AD331_8EE9_49A3_85C5_CAAF9519E963_.wvu.Cols" localSheetId="8" hidden="1">Q7_D_Est_Org!$Q:$AE</definedName>
    <definedName name="Z_397AD331_8EE9_49A3_85C5_CAAF9519E963_.wvu.Cols" localSheetId="10" hidden="1">'Q9_SFA '!$Q:$Q</definedName>
    <definedName name="Z_397AD331_8EE9_49A3_85C5_CAAF9519E963_.wvu.PrintArea" localSheetId="11" hidden="1">'Q10_SFA acumulado'!$C$1:$F$46</definedName>
    <definedName name="Z_397AD331_8EE9_49A3_85C5_CAAF9519E963_.wvu.PrintArea" localSheetId="3" hidden="1">Q2_Global_Est!$B$1:$H$37</definedName>
    <definedName name="Z_397AD331_8EE9_49A3_85C5_CAAF9519E963_.wvu.PrintArea" localSheetId="4" hidden="1">'Q3_ R_fiscal'!#REF!</definedName>
    <definedName name="Z_397AD331_8EE9_49A3_85C5_CAAF9519E963_.wvu.PrintArea" localSheetId="5" hidden="1">Q4_R_n_fiscal!#REF!</definedName>
    <definedName name="Z_397AD331_8EE9_49A3_85C5_CAAF9519E963_.wvu.PrintArea" localSheetId="6" hidden="1">'Q5_D_Est ECO'!$B$1:$H$40</definedName>
    <definedName name="Z_397AD331_8EE9_49A3_85C5_CAAF9519E963_.wvu.PrintArea" localSheetId="7" hidden="1">Q6_D_Est_Func!$B$1:$F$22</definedName>
    <definedName name="Z_397AD331_8EE9_49A3_85C5_CAAF9519E963_.wvu.PrintArea" localSheetId="8" hidden="1">Q7_D_Est_Org!$B$1:$AG$47</definedName>
    <definedName name="Z_397AD331_8EE9_49A3_85C5_CAAF9519E963_.wvu.PrintArea" localSheetId="10" hidden="1">'Q9_SFA '!$C$1:$R$12</definedName>
    <definedName name="Z_397AD331_8EE9_49A3_85C5_CAAF9519E963_.wvu.PrintTitles" localSheetId="6" hidden="1">'Q5_D_Est ECO'!$C:$C</definedName>
    <definedName name="Z_397AD331_8EE9_49A3_85C5_CAAF9519E963_.wvu.PrintTitles" localSheetId="8" hidden="1">Q7_D_Est_Org!$C:$C</definedName>
    <definedName name="Z_409D0809_DA86_4C14_803D_2162A19A44FF_.wvu.Cols" localSheetId="11" hidden="1">'Q10_SFA acumulado'!#REF!</definedName>
    <definedName name="Z_409D0809_DA86_4C14_803D_2162A19A44FF_.wvu.Cols" localSheetId="4" hidden="1">'Q3_ R_fiscal'!$D:$D</definedName>
    <definedName name="Z_409D0809_DA86_4C14_803D_2162A19A44FF_.wvu.Cols" localSheetId="5" hidden="1">Q4_R_n_fiscal!$D:$D</definedName>
    <definedName name="Z_409D0809_DA86_4C14_803D_2162A19A44FF_.wvu.Cols" localSheetId="6" hidden="1">'Q5_D_Est ECO'!#REF!</definedName>
    <definedName name="Z_409D0809_DA86_4C14_803D_2162A19A44FF_.wvu.Cols" localSheetId="10" hidden="1">'Q9_SFA '!$Q:$Q</definedName>
    <definedName name="Z_409D0809_DA86_4C14_803D_2162A19A44FF_.wvu.PrintArea" localSheetId="11" hidden="1">'Q10_SFA acumulado'!$C$1:$F$46</definedName>
    <definedName name="Z_409D0809_DA86_4C14_803D_2162A19A44FF_.wvu.PrintArea" localSheetId="3" hidden="1">Q2_Global_Est!$B$1:$H$37</definedName>
    <definedName name="Z_409D0809_DA86_4C14_803D_2162A19A44FF_.wvu.PrintArea" localSheetId="4" hidden="1">'Q3_ R_fiscal'!#REF!</definedName>
    <definedName name="Z_409D0809_DA86_4C14_803D_2162A19A44FF_.wvu.PrintArea" localSheetId="5" hidden="1">Q4_R_n_fiscal!#REF!</definedName>
    <definedName name="Z_409D0809_DA86_4C14_803D_2162A19A44FF_.wvu.PrintArea" localSheetId="6" hidden="1">'Q5_D_Est ECO'!$B$1:$H$40</definedName>
    <definedName name="Z_409D0809_DA86_4C14_803D_2162A19A44FF_.wvu.PrintArea" localSheetId="7" hidden="1">Q6_D_Est_Func!$B$1:$F$22</definedName>
    <definedName name="Z_409D0809_DA86_4C14_803D_2162A19A44FF_.wvu.PrintArea" localSheetId="8" hidden="1">Q7_D_Est_Org!$B$1:$AG$47</definedName>
    <definedName name="Z_409D0809_DA86_4C14_803D_2162A19A44FF_.wvu.PrintArea" localSheetId="10" hidden="1">'Q9_SFA '!$C$1:$R$12</definedName>
    <definedName name="Z_409D0809_DA86_4C14_803D_2162A19A44FF_.wvu.PrintTitles" localSheetId="6" hidden="1">'Q5_D_Est ECO'!$C:$C</definedName>
    <definedName name="Z_409D0809_DA86_4C14_803D_2162A19A44FF_.wvu.PrintTitles" localSheetId="8" hidden="1">Q7_D_Est_Org!$C:$C</definedName>
    <definedName name="Z_43AB44CB_B133_4B3C_9B24_AA3B4A5A58A7_.wvu.Cols" localSheetId="11" hidden="1">'Q10_SFA acumulado'!#REF!</definedName>
    <definedName name="Z_43AB44CB_B133_4B3C_9B24_AA3B4A5A58A7_.wvu.Cols" localSheetId="6" hidden="1">'Q5_D_Est ECO'!#REF!</definedName>
    <definedName name="Z_43AB44CB_B133_4B3C_9B24_AA3B4A5A58A7_.wvu.Cols" localSheetId="8" hidden="1">Q7_D_Est_Org!$Q:$AE</definedName>
    <definedName name="Z_43AB44CB_B133_4B3C_9B24_AA3B4A5A58A7_.wvu.Cols" localSheetId="10" hidden="1">'Q9_SFA '!$Q:$Q</definedName>
    <definedName name="Z_43AB44CB_B133_4B3C_9B24_AA3B4A5A58A7_.wvu.PrintArea" localSheetId="11" hidden="1">'Q10_SFA acumulado'!$C$1:$F$46</definedName>
    <definedName name="Z_43AB44CB_B133_4B3C_9B24_AA3B4A5A58A7_.wvu.PrintArea" localSheetId="3" hidden="1">Q2_Global_Est!$B$1:$H$37</definedName>
    <definedName name="Z_43AB44CB_B133_4B3C_9B24_AA3B4A5A58A7_.wvu.PrintArea" localSheetId="4" hidden="1">'Q3_ R_fiscal'!#REF!</definedName>
    <definedName name="Z_43AB44CB_B133_4B3C_9B24_AA3B4A5A58A7_.wvu.PrintArea" localSheetId="5" hidden="1">Q4_R_n_fiscal!#REF!</definedName>
    <definedName name="Z_43AB44CB_B133_4B3C_9B24_AA3B4A5A58A7_.wvu.PrintArea" localSheetId="6" hidden="1">'Q5_D_Est ECO'!$B$1:$H$40</definedName>
    <definedName name="Z_43AB44CB_B133_4B3C_9B24_AA3B4A5A58A7_.wvu.PrintArea" localSheetId="7" hidden="1">Q6_D_Est_Func!$B$1:$F$22</definedName>
    <definedName name="Z_43AB44CB_B133_4B3C_9B24_AA3B4A5A58A7_.wvu.PrintArea" localSheetId="8" hidden="1">Q7_D_Est_Org!$B$1:$AG$47</definedName>
    <definedName name="Z_43AB44CB_B133_4B3C_9B24_AA3B4A5A58A7_.wvu.PrintArea" localSheetId="10" hidden="1">'Q9_SFA '!$C$1:$R$12</definedName>
    <definedName name="Z_43AB44CB_B133_4B3C_9B24_AA3B4A5A58A7_.wvu.PrintTitles" localSheetId="6" hidden="1">'Q5_D_Est ECO'!$C:$C</definedName>
    <definedName name="Z_43AB44CB_B133_4B3C_9B24_AA3B4A5A58A7_.wvu.PrintTitles" localSheetId="8" hidden="1">Q7_D_Est_Org!$C:$C</definedName>
    <definedName name="Z_60062E94_E9B0_4825_A812_182FE1DB6021_.wvu.Cols" localSheetId="11" hidden="1">'Q10_SFA acumulado'!#REF!</definedName>
    <definedName name="Z_60062E94_E9B0_4825_A812_182FE1DB6021_.wvu.Cols" localSheetId="4" hidden="1">'Q3_ R_fiscal'!$D:$D</definedName>
    <definedName name="Z_60062E94_E9B0_4825_A812_182FE1DB6021_.wvu.Cols" localSheetId="5" hidden="1">Q4_R_n_fiscal!$D:$D</definedName>
    <definedName name="Z_60062E94_E9B0_4825_A812_182FE1DB6021_.wvu.Cols" localSheetId="6" hidden="1">'Q5_D_Est ECO'!#REF!</definedName>
    <definedName name="Z_60062E94_E9B0_4825_A812_182FE1DB6021_.wvu.Cols" localSheetId="8" hidden="1">Q7_D_Est_Org!$Q:$AE</definedName>
    <definedName name="Z_60062E94_E9B0_4825_A812_182FE1DB6021_.wvu.Cols" localSheetId="10" hidden="1">'Q9_SFA '!$Q:$Q</definedName>
    <definedName name="Z_60062E94_E9B0_4825_A812_182FE1DB6021_.wvu.PrintArea" localSheetId="11" hidden="1">'Q10_SFA acumulado'!$C$1:$F$46</definedName>
    <definedName name="Z_60062E94_E9B0_4825_A812_182FE1DB6021_.wvu.PrintArea" localSheetId="3" hidden="1">Q2_Global_Est!$B$1:$H$37</definedName>
    <definedName name="Z_60062E94_E9B0_4825_A812_182FE1DB6021_.wvu.PrintArea" localSheetId="4" hidden="1">'Q3_ R_fiscal'!#REF!</definedName>
    <definedName name="Z_60062E94_E9B0_4825_A812_182FE1DB6021_.wvu.PrintArea" localSheetId="5" hidden="1">Q4_R_n_fiscal!#REF!</definedName>
    <definedName name="Z_60062E94_E9B0_4825_A812_182FE1DB6021_.wvu.PrintArea" localSheetId="6" hidden="1">'Q5_D_Est ECO'!$B$1:$H$40</definedName>
    <definedName name="Z_60062E94_E9B0_4825_A812_182FE1DB6021_.wvu.PrintArea" localSheetId="7" hidden="1">Q6_D_Est_Func!$B$1:$F$22</definedName>
    <definedName name="Z_60062E94_E9B0_4825_A812_182FE1DB6021_.wvu.PrintArea" localSheetId="8" hidden="1">Q7_D_Est_Org!$B$1:$AG$47</definedName>
    <definedName name="Z_60062E94_E9B0_4825_A812_182FE1DB6021_.wvu.PrintArea" localSheetId="10" hidden="1">'Q9_SFA '!$C$1:$R$12</definedName>
    <definedName name="Z_60062E94_E9B0_4825_A812_182FE1DB6021_.wvu.PrintTitles" localSheetId="6" hidden="1">'Q5_D_Est ECO'!$C:$C</definedName>
    <definedName name="Z_60062E94_E9B0_4825_A812_182FE1DB6021_.wvu.PrintTitles" localSheetId="8" hidden="1">Q7_D_Est_Org!$C:$C</definedName>
    <definedName name="Z_995CCCB8_BF97_4653_A7C0_86012B807DB5_.wvu.Cols" localSheetId="11" hidden="1">'Q10_SFA acumulado'!#REF!</definedName>
    <definedName name="Z_995CCCB8_BF97_4653_A7C0_86012B807DB5_.wvu.Cols" localSheetId="4" hidden="1">'Q3_ R_fiscal'!$D:$D</definedName>
    <definedName name="Z_995CCCB8_BF97_4653_A7C0_86012B807DB5_.wvu.Cols" localSheetId="5" hidden="1">Q4_R_n_fiscal!$D:$D</definedName>
    <definedName name="Z_995CCCB8_BF97_4653_A7C0_86012B807DB5_.wvu.Cols" localSheetId="6" hidden="1">'Q5_D_Est ECO'!#REF!</definedName>
    <definedName name="Z_995CCCB8_BF97_4653_A7C0_86012B807DB5_.wvu.Cols" localSheetId="8" hidden="1">Q7_D_Est_Org!$Q:$AE</definedName>
    <definedName name="Z_995CCCB8_BF97_4653_A7C0_86012B807DB5_.wvu.Cols" localSheetId="10" hidden="1">'Q9_SFA '!$Q:$Q</definedName>
    <definedName name="Z_995CCCB8_BF97_4653_A7C0_86012B807DB5_.wvu.PrintArea" localSheetId="11" hidden="1">'Q10_SFA acumulado'!$C$1:$F$46</definedName>
    <definedName name="Z_995CCCB8_BF97_4653_A7C0_86012B807DB5_.wvu.PrintArea" localSheetId="3" hidden="1">Q2_Global_Est!$B$1:$H$37</definedName>
    <definedName name="Z_995CCCB8_BF97_4653_A7C0_86012B807DB5_.wvu.PrintArea" localSheetId="4" hidden="1">'Q3_ R_fiscal'!#REF!</definedName>
    <definedName name="Z_995CCCB8_BF97_4653_A7C0_86012B807DB5_.wvu.PrintArea" localSheetId="5" hidden="1">Q4_R_n_fiscal!#REF!</definedName>
    <definedName name="Z_995CCCB8_BF97_4653_A7C0_86012B807DB5_.wvu.PrintArea" localSheetId="6" hidden="1">'Q5_D_Est ECO'!$B$1:$H$40</definedName>
    <definedName name="Z_995CCCB8_BF97_4653_A7C0_86012B807DB5_.wvu.PrintArea" localSheetId="7" hidden="1">Q6_D_Est_Func!$B$1:$F$22</definedName>
    <definedName name="Z_995CCCB8_BF97_4653_A7C0_86012B807DB5_.wvu.PrintArea" localSheetId="8" hidden="1">Q7_D_Est_Org!$B$1:$AG$47</definedName>
    <definedName name="Z_995CCCB8_BF97_4653_A7C0_86012B807DB5_.wvu.PrintArea" localSheetId="10" hidden="1">'Q9_SFA '!$C$1:$R$12</definedName>
    <definedName name="Z_995CCCB8_BF97_4653_A7C0_86012B807DB5_.wvu.PrintTitles" localSheetId="6" hidden="1">'Q5_D_Est ECO'!$C:$C</definedName>
    <definedName name="Z_995CCCB8_BF97_4653_A7C0_86012B807DB5_.wvu.PrintTitles" localSheetId="8" hidden="1">Q7_D_Est_Org!$C:$C</definedName>
    <definedName name="Z_9C8E7FE3_A7A1_4D36_A156_3751861446D4_.wvu.Cols" localSheetId="11" hidden="1">'Q10_SFA acumulado'!#REF!</definedName>
    <definedName name="Z_9C8E7FE3_A7A1_4D36_A156_3751861446D4_.wvu.Cols" localSheetId="4" hidden="1">'Q3_ R_fiscal'!$D:$D</definedName>
    <definedName name="Z_9C8E7FE3_A7A1_4D36_A156_3751861446D4_.wvu.Cols" localSheetId="5" hidden="1">Q4_R_n_fiscal!$D:$D</definedName>
    <definedName name="Z_9C8E7FE3_A7A1_4D36_A156_3751861446D4_.wvu.Cols" localSheetId="6" hidden="1">'Q5_D_Est ECO'!#REF!</definedName>
    <definedName name="Z_9C8E7FE3_A7A1_4D36_A156_3751861446D4_.wvu.Cols" localSheetId="8" hidden="1">Q7_D_Est_Org!$Q:$AE</definedName>
    <definedName name="Z_9C8E7FE3_A7A1_4D36_A156_3751861446D4_.wvu.Cols" localSheetId="10" hidden="1">'Q9_SFA '!$Q:$Q</definedName>
    <definedName name="Z_9C8E7FE3_A7A1_4D36_A156_3751861446D4_.wvu.PrintArea" localSheetId="11" hidden="1">'Q10_SFA acumulado'!$C$1:$F$46</definedName>
    <definedName name="Z_9C8E7FE3_A7A1_4D36_A156_3751861446D4_.wvu.PrintArea" localSheetId="3" hidden="1">Q2_Global_Est!$B$1:$H$37</definedName>
    <definedName name="Z_9C8E7FE3_A7A1_4D36_A156_3751861446D4_.wvu.PrintArea" localSheetId="4" hidden="1">'Q3_ R_fiscal'!#REF!</definedName>
    <definedName name="Z_9C8E7FE3_A7A1_4D36_A156_3751861446D4_.wvu.PrintArea" localSheetId="5" hidden="1">Q4_R_n_fiscal!#REF!</definedName>
    <definedName name="Z_9C8E7FE3_A7A1_4D36_A156_3751861446D4_.wvu.PrintArea" localSheetId="6" hidden="1">'Q5_D_Est ECO'!$B$1:$H$40</definedName>
    <definedName name="Z_9C8E7FE3_A7A1_4D36_A156_3751861446D4_.wvu.PrintArea" localSheetId="7" hidden="1">Q6_D_Est_Func!$B$1:$F$22</definedName>
    <definedName name="Z_9C8E7FE3_A7A1_4D36_A156_3751861446D4_.wvu.PrintArea" localSheetId="8" hidden="1">Q7_D_Est_Org!$B$1:$AG$47</definedName>
    <definedName name="Z_9C8E7FE3_A7A1_4D36_A156_3751861446D4_.wvu.PrintArea" localSheetId="10" hidden="1">'Q9_SFA '!$C$1:$R$12</definedName>
    <definedName name="Z_9C8E7FE3_A7A1_4D36_A156_3751861446D4_.wvu.PrintTitles" localSheetId="6" hidden="1">'Q5_D_Est ECO'!$C:$C</definedName>
    <definedName name="Z_9C8E7FE3_A7A1_4D36_A156_3751861446D4_.wvu.PrintTitles" localSheetId="8" hidden="1">Q7_D_Est_Org!$C:$C</definedName>
    <definedName name="Z_B22C7842_6BF9_4A1C_B06C_2AD9B9A784D4_.wvu.Cols" localSheetId="11" hidden="1">'Q10_SFA acumulado'!#REF!</definedName>
    <definedName name="Z_B22C7842_6BF9_4A1C_B06C_2AD9B9A784D4_.wvu.Cols" localSheetId="4" hidden="1">'Q3_ R_fiscal'!$D:$D</definedName>
    <definedName name="Z_B22C7842_6BF9_4A1C_B06C_2AD9B9A784D4_.wvu.Cols" localSheetId="5" hidden="1">Q4_R_n_fiscal!$D:$D</definedName>
    <definedName name="Z_B22C7842_6BF9_4A1C_B06C_2AD9B9A784D4_.wvu.Cols" localSheetId="6" hidden="1">'Q5_D_Est ECO'!#REF!</definedName>
    <definedName name="Z_B22C7842_6BF9_4A1C_B06C_2AD9B9A784D4_.wvu.Cols" localSheetId="8" hidden="1">Q7_D_Est_Org!$Q:$AE</definedName>
    <definedName name="Z_B22C7842_6BF9_4A1C_B06C_2AD9B9A784D4_.wvu.Cols" localSheetId="10" hidden="1">'Q9_SFA '!$Q:$Q</definedName>
    <definedName name="Z_B22C7842_6BF9_4A1C_B06C_2AD9B9A784D4_.wvu.PrintArea" localSheetId="11" hidden="1">'Q10_SFA acumulado'!$C$1:$F$46</definedName>
    <definedName name="Z_B22C7842_6BF9_4A1C_B06C_2AD9B9A784D4_.wvu.PrintArea" localSheetId="3" hidden="1">Q2_Global_Est!$B$1:$H$37</definedName>
    <definedName name="Z_B22C7842_6BF9_4A1C_B06C_2AD9B9A784D4_.wvu.PrintArea" localSheetId="4" hidden="1">'Q3_ R_fiscal'!#REF!</definedName>
    <definedName name="Z_B22C7842_6BF9_4A1C_B06C_2AD9B9A784D4_.wvu.PrintArea" localSheetId="5" hidden="1">Q4_R_n_fiscal!#REF!</definedName>
    <definedName name="Z_B22C7842_6BF9_4A1C_B06C_2AD9B9A784D4_.wvu.PrintArea" localSheetId="6" hidden="1">'Q5_D_Est ECO'!$B$1:$H$40</definedName>
    <definedName name="Z_B22C7842_6BF9_4A1C_B06C_2AD9B9A784D4_.wvu.PrintArea" localSheetId="7" hidden="1">Q6_D_Est_Func!$B$1:$F$22</definedName>
    <definedName name="Z_B22C7842_6BF9_4A1C_B06C_2AD9B9A784D4_.wvu.PrintArea" localSheetId="8" hidden="1">Q7_D_Est_Org!$B$1:$AG$47</definedName>
    <definedName name="Z_B22C7842_6BF9_4A1C_B06C_2AD9B9A784D4_.wvu.PrintArea" localSheetId="10" hidden="1">'Q9_SFA '!$C$1:$R$12</definedName>
    <definedName name="Z_B22C7842_6BF9_4A1C_B06C_2AD9B9A784D4_.wvu.PrintTitles" localSheetId="6" hidden="1">'Q5_D_Est ECO'!$C:$C</definedName>
    <definedName name="Z_B22C7842_6BF9_4A1C_B06C_2AD9B9A784D4_.wvu.PrintTitles" localSheetId="8" hidden="1">Q7_D_Est_Org!$C:$C</definedName>
    <definedName name="Z_C2013F6E_CF9D_4172_87F3_B954A090B414_.wvu.PrintArea" localSheetId="3" hidden="1">Q2_Global_Est!$C$1:$F$37</definedName>
    <definedName name="Z_C2013F6E_CF9D_4172_87F3_B954A090B414_.wvu.PrintArea" localSheetId="6" hidden="1">'Q5_D_Est ECO'!$C$1:$H$39</definedName>
    <definedName name="Z_C2013F6E_CF9D_4172_87F3_B954A090B414_.wvu.PrintArea" localSheetId="7" hidden="1">Q6_D_Est_Func!$C$1:$F$22</definedName>
    <definedName name="Z_C2013F6E_CF9D_4172_87F3_B954A090B414_.wvu.PrintArea" localSheetId="8" hidden="1">Q7_D_Est_Org!$D$1:$P$47</definedName>
    <definedName name="Z_DB1D3FDB_E0D5_4FD7_BD6E_EC28675EBF68_.wvu.Cols" localSheetId="11" hidden="1">'Q10_SFA acumulado'!#REF!</definedName>
    <definedName name="Z_DB1D3FDB_E0D5_4FD7_BD6E_EC28675EBF68_.wvu.Cols" localSheetId="4" hidden="1">'Q3_ R_fiscal'!$D:$D</definedName>
    <definedName name="Z_DB1D3FDB_E0D5_4FD7_BD6E_EC28675EBF68_.wvu.Cols" localSheetId="5" hidden="1">Q4_R_n_fiscal!$D:$D</definedName>
    <definedName name="Z_DB1D3FDB_E0D5_4FD7_BD6E_EC28675EBF68_.wvu.Cols" localSheetId="6" hidden="1">'Q5_D_Est ECO'!#REF!</definedName>
    <definedName name="Z_DB1D3FDB_E0D5_4FD7_BD6E_EC28675EBF68_.wvu.Cols" localSheetId="8" hidden="1">Q7_D_Est_Org!$Q:$AE</definedName>
    <definedName name="Z_DB1D3FDB_E0D5_4FD7_BD6E_EC28675EBF68_.wvu.Cols" localSheetId="10" hidden="1">'Q9_SFA '!$Q:$Q</definedName>
    <definedName name="Z_DB1D3FDB_E0D5_4FD7_BD6E_EC28675EBF68_.wvu.PrintArea" localSheetId="11" hidden="1">'Q10_SFA acumulado'!$C$1:$F$46</definedName>
    <definedName name="Z_DB1D3FDB_E0D5_4FD7_BD6E_EC28675EBF68_.wvu.PrintArea" localSheetId="3" hidden="1">Q2_Global_Est!$B$1:$H$37</definedName>
    <definedName name="Z_DB1D3FDB_E0D5_4FD7_BD6E_EC28675EBF68_.wvu.PrintArea" localSheetId="4" hidden="1">'Q3_ R_fiscal'!#REF!</definedName>
    <definedName name="Z_DB1D3FDB_E0D5_4FD7_BD6E_EC28675EBF68_.wvu.PrintArea" localSheetId="5" hidden="1">Q4_R_n_fiscal!#REF!</definedName>
    <definedName name="Z_DB1D3FDB_E0D5_4FD7_BD6E_EC28675EBF68_.wvu.PrintArea" localSheetId="6" hidden="1">'Q5_D_Est ECO'!$B$1:$H$40</definedName>
    <definedName name="Z_DB1D3FDB_E0D5_4FD7_BD6E_EC28675EBF68_.wvu.PrintArea" localSheetId="7" hidden="1">Q6_D_Est_Func!$B$1:$F$22</definedName>
    <definedName name="Z_DB1D3FDB_E0D5_4FD7_BD6E_EC28675EBF68_.wvu.PrintArea" localSheetId="8" hidden="1">Q7_D_Est_Org!$B$1:$AG$47</definedName>
    <definedName name="Z_DB1D3FDB_E0D5_4FD7_BD6E_EC28675EBF68_.wvu.PrintArea" localSheetId="10" hidden="1">'Q9_SFA '!$C$1:$R$12</definedName>
    <definedName name="Z_DB1D3FDB_E0D5_4FD7_BD6E_EC28675EBF68_.wvu.PrintTitles" localSheetId="6" hidden="1">'Q5_D_Est ECO'!$C:$C</definedName>
    <definedName name="Z_DB1D3FDB_E0D5_4FD7_BD6E_EC28675EBF68_.wvu.PrintTitles" localSheetId="8" hidden="1">Q7_D_Est_Org!$C:$C</definedName>
    <definedName name="Z_EBA68B69_6D6E_44F8_8C51_9491A55275C5_.wvu.Cols" localSheetId="11" hidden="1">'Q10_SFA acumulado'!#REF!</definedName>
    <definedName name="Z_EBA68B69_6D6E_44F8_8C51_9491A55275C5_.wvu.Cols" localSheetId="4" hidden="1">'Q3_ R_fiscal'!$D:$D</definedName>
    <definedName name="Z_EBA68B69_6D6E_44F8_8C51_9491A55275C5_.wvu.Cols" localSheetId="5" hidden="1">Q4_R_n_fiscal!$D:$D</definedName>
    <definedName name="Z_EBA68B69_6D6E_44F8_8C51_9491A55275C5_.wvu.Cols" localSheetId="6" hidden="1">'Q5_D_Est ECO'!#REF!</definedName>
    <definedName name="Z_EBA68B69_6D6E_44F8_8C51_9491A55275C5_.wvu.Cols" localSheetId="8" hidden="1">Q7_D_Est_Org!$Q:$AE</definedName>
    <definedName name="Z_EBA68B69_6D6E_44F8_8C51_9491A55275C5_.wvu.Cols" localSheetId="10" hidden="1">'Q9_SFA '!$Q:$Q</definedName>
    <definedName name="Z_EBA68B69_6D6E_44F8_8C51_9491A55275C5_.wvu.PrintArea" localSheetId="11" hidden="1">'Q10_SFA acumulado'!$C$1:$F$46</definedName>
    <definedName name="Z_EBA68B69_6D6E_44F8_8C51_9491A55275C5_.wvu.PrintArea" localSheetId="3" hidden="1">Q2_Global_Est!$B$1:$H$37</definedName>
    <definedName name="Z_EBA68B69_6D6E_44F8_8C51_9491A55275C5_.wvu.PrintArea" localSheetId="4" hidden="1">'Q3_ R_fiscal'!#REF!</definedName>
    <definedName name="Z_EBA68B69_6D6E_44F8_8C51_9491A55275C5_.wvu.PrintArea" localSheetId="5" hidden="1">Q4_R_n_fiscal!#REF!</definedName>
    <definedName name="Z_EBA68B69_6D6E_44F8_8C51_9491A55275C5_.wvu.PrintArea" localSheetId="6" hidden="1">'Q5_D_Est ECO'!$B$1:$H$40</definedName>
    <definedName name="Z_EBA68B69_6D6E_44F8_8C51_9491A55275C5_.wvu.PrintArea" localSheetId="7" hidden="1">Q6_D_Est_Func!$B$1:$F$22</definedName>
    <definedName name="Z_EBA68B69_6D6E_44F8_8C51_9491A55275C5_.wvu.PrintArea" localSheetId="8" hidden="1">Q7_D_Est_Org!$B$1:$AG$47</definedName>
    <definedName name="Z_EBA68B69_6D6E_44F8_8C51_9491A55275C5_.wvu.PrintArea" localSheetId="10" hidden="1">'Q9_SFA '!$C$1:$R$12</definedName>
    <definedName name="Z_EBA68B69_6D6E_44F8_8C51_9491A55275C5_.wvu.PrintTitles" localSheetId="6" hidden="1">'Q5_D_Est ECO'!$C:$C</definedName>
    <definedName name="Z_EBA68B69_6D6E_44F8_8C51_9491A55275C5_.wvu.PrintTitles" localSheetId="8" hidden="1">Q7_D_Est_Org!$C:$C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38" l="1"/>
  <c r="D42" i="38"/>
  <c r="C41" i="38"/>
  <c r="D33" i="38"/>
  <c r="C32" i="38"/>
  <c r="D24" i="38"/>
  <c r="C23" i="38"/>
  <c r="D3" i="38"/>
  <c r="C2" i="51"/>
  <c r="C2" i="13"/>
  <c r="C2" i="39"/>
  <c r="C2" i="12"/>
  <c r="C2" i="11"/>
  <c r="C2" i="10"/>
  <c r="C2" i="50"/>
  <c r="C2" i="9"/>
  <c r="C23" i="9"/>
  <c r="C13" i="9"/>
  <c r="C2" i="32"/>
  <c r="C2" i="8"/>
  <c r="C46" i="12"/>
  <c r="F33" i="38" l="1"/>
  <c r="E33" i="38"/>
  <c r="F42" i="38"/>
  <c r="E42" i="38"/>
  <c r="F24" i="38"/>
  <c r="E24" i="38"/>
  <c r="G24" i="38"/>
  <c r="G33" i="38"/>
  <c r="G42" i="38"/>
  <c r="G3" i="38"/>
  <c r="A14" i="54" l="1"/>
  <c r="A7" i="54"/>
  <c r="F3" i="11"/>
  <c r="G3" i="32"/>
  <c r="A18" i="54"/>
  <c r="E2" i="53" l="1"/>
  <c r="H3" i="12" l="1"/>
  <c r="F3" i="12"/>
  <c r="A5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1" i="9"/>
  <c r="C19" i="9"/>
  <c r="C18" i="9"/>
  <c r="C17" i="9"/>
  <c r="C16" i="9"/>
  <c r="C15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7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6" i="54" l="1"/>
  <c r="A15" i="54" l="1"/>
  <c r="A13" i="54"/>
  <c r="A12" i="54"/>
  <c r="A11" i="54"/>
  <c r="A10" i="54"/>
  <c r="A9" i="54"/>
  <c r="A8" i="54"/>
  <c r="A6" i="54"/>
  <c r="A4" i="54"/>
  <c r="A3" i="54"/>
</calcChain>
</file>

<file path=xl/sharedStrings.xml><?xml version="1.0" encoding="utf-8"?>
<sst xmlns="http://schemas.openxmlformats.org/spreadsheetml/2006/main" count="113" uniqueCount="93">
  <si>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</si>
  <si>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</si>
  <si>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</si>
  <si>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</si>
  <si>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</si>
  <si>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</si>
  <si>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</si>
  <si>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</si>
  <si>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</si>
  <si>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</si>
  <si>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</si>
  <si>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</si>
  <si>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</si>
  <si>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</si>
  <si>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</si>
  <si>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</si>
  <si>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</si>
  <si>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</si>
  <si>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</si>
  <si>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Inspeção Regional de Educação</t>
  </si>
  <si>
    <t>Escola Básica e Secundaria Com Pré-Escolar da Calheta</t>
  </si>
  <si>
    <t>Escola Básica e Secundária de Santa Cruz</t>
  </si>
  <si>
    <t>Escola Básica e Secundária da Ponta do Sol</t>
  </si>
  <si>
    <t>Direção Regional de Juventude</t>
  </si>
  <si>
    <t>Secretaria Regional de Economia</t>
  </si>
  <si>
    <t>Direção Regional da Economia e Transportes</t>
  </si>
  <si>
    <t>Autoridade Regional das Atividades Económicas</t>
  </si>
  <si>
    <t>Gabinete do Secretário Regional</t>
  </si>
  <si>
    <t>Secretaria Regional das Finanças</t>
  </si>
  <si>
    <t>Inspeção Regional de Finanças</t>
  </si>
  <si>
    <t>Direção Regional de Estatística da Madeira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</si>
  <si>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</si>
  <si>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</si>
  <si>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</si>
  <si>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</si>
  <si>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de Turismo</t>
  </si>
  <si>
    <t>Direção Regional da Cultura</t>
  </si>
  <si>
    <t>Direção Regional do Arquivo e Biblioteca da Madeira</t>
  </si>
  <si>
    <t>Secretaria Regional de Inclusão Social e Cidadania</t>
  </si>
  <si>
    <t>Gabinete da Secretária Regional</t>
  </si>
  <si>
    <t>Direção Regional do Trabalho e Ação Inspetiva</t>
  </si>
  <si>
    <t>Secretaria Regional de Mar e Pescas</t>
  </si>
  <si>
    <t>Direção Regional do Mar</t>
  </si>
  <si>
    <t>Secretaria Regional de Agricultura e Desenvolvimento Rural</t>
  </si>
  <si>
    <t>Secretaria Regional de Equipamentos e Infraestruturas</t>
  </si>
  <si>
    <t>Gabinete do Secretário Regional dos Equipamentos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</si>
  <si>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</si>
  <si>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</si>
  <si>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</si>
  <si>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</si>
  <si>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</si>
  <si>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</si>
  <si>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</si>
  <si>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</si>
  <si>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</si>
  <si>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</si>
  <si>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</si>
  <si>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</si>
  <si>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</si>
  <si>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Instituto das Florestas e Conservação da Natureza, IP-RAM</t>
  </si>
  <si>
    <t>CARAM -Centro de Abate da Região Autónoma da Madeira, EPERAM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</si>
  <si>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</si>
  <si>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</si>
  <si>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</si>
  <si>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</si>
  <si>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</si>
  <si>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</si>
  <si>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</si>
  <si>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</si>
  <si>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da Saúde</t>
  </si>
  <si>
    <t>Direção Regional do Ambiente e Alterações Climáticas</t>
  </si>
  <si>
    <t>-</t>
  </si>
  <si>
    <t>EHTM-Escola de Hotelaria e Turismo da Madeira</t>
  </si>
  <si>
    <t>Agência de Inovação e Modernização da Região Autónoma da Madeira, IP-RAM</t>
  </si>
  <si>
    <t>Escola Básica dos 1º, 2º e 3º Ciclos e Pré-Escolar Bartolomeu Perestrelo - Funchal</t>
  </si>
  <si>
    <t>Escola Básica e Secundária Padre Manuel Álvares - Ribeira Brava</t>
  </si>
  <si>
    <t>Escola Básica e Secundária Professor Dr. Francisco de Freitas Branco - Porto Santo</t>
  </si>
  <si>
    <t>Escola Básica dos 2º e 3º Ciclos Dr. Horácio Bento de Gouveia - Funchal</t>
  </si>
  <si>
    <t>Escola Básica com Pré-Escolar de Santo António e Curral das Freiras - Funchal</t>
  </si>
  <si>
    <t>Escola Básica e Secundária D. Lucinda Andrade - São Vicente</t>
  </si>
  <si>
    <t>Escola Secundária Jaime Moniz - Funchal</t>
  </si>
  <si>
    <t>Escola Secundária de Francisco Franco - Funchal</t>
  </si>
  <si>
    <t>Escola Básica e Secundária Dr. Ângelo Augusto da Silva - Funchal</t>
  </si>
  <si>
    <t>Escola Básica e Secundária Dr. Luís Maurílio da Silva Dantas - Câmara de Lobos</t>
  </si>
  <si>
    <t>Escola Básica dos 2º e 3º Ciclos dos Louros - Funchal</t>
  </si>
  <si>
    <t>Escola Básica dos 2º e 3º Ciclos Dr. Eduardo Brazão de Castro - S. Roque - Funchal</t>
  </si>
  <si>
    <t>Escola Básica e Secundária com Pré-Escolar e Creche do Porto Moniz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</si>
  <si>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</si>
  <si>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</si>
  <si>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</si>
  <si>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</si>
  <si>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Gabinete do Secretário e Serviços Dependentes-SRS</t>
  </si>
  <si>
    <t>Gabinete do Secretário Regional de Agricultura e Desenvolvimento Rural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</si>
</sst>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26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70" fillId="0" borderId="123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0" fontId="0" fillId="0" borderId="0" xfId="0" applyBorder="1"/>
    <xf numFmtId="0" fontId="69" fillId="0" borderId="0" xfId="0" applyFont="1" applyBorder="1"/>
    <xf numFmtId="0" fontId="69" fillId="0" borderId="35" xfId="0" applyFont="1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  <xf numFmtId="0" fontId="69" fillId="0" borderId="35" xfId="0" applyFont="1" applyBorder="1" applyAlignment="1">
      <alignment vertical="center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4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02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Q26" sqref="Q26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D3" sqref="D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VIII - Saldo Global do Subsetor - EPR (janeiro)","TABLE VIII - RPEs global balance (january)")</f>
        <v>TABLE VIII - RPEs global balance (january)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1125.484760000003</v>
      </c>
      <c r="E5" s="82">
        <v>8334.0977100000073</v>
      </c>
    </row>
    <row r="6" spans="2:7">
      <c r="B6" s="29"/>
      <c r="C6" s="103"/>
      <c r="D6" s="103"/>
      <c r="E6" s="103"/>
    </row>
    <row r="7" spans="2:7">
      <c r="B7" s="29"/>
      <c r="C7" s="306" t="str">
        <f>+IF(Índice!$D$2=1,"Fonte: Secretaria Regional das Finanças","Source: Regional Finance Secretariat")</f>
        <v>Source: Regional Finance Secretariat</v>
      </c>
      <c r="D7" s="306" t="str">
        <f>+IF(Índice!$D$2="PT","Fonte: Vice-Presidência do Governo Regional","Source: Vice-Presidency of the Regional Government")</f>
        <v>Source: Vice-Presidency of the Regional Government</v>
      </c>
      <c r="E7" s="306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O13" sqref="O1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07" t="str">
        <f>+IF(Índice!$D$2=1,"QUADRO IX - EIXecução orçamental dos Serviços e Fundos Autónomos e EPR (janeiro)","TABLE IX - ASFs and RPEs budget eIXecution (january)")</f>
        <v>TABLE IX - ASFs and RPEs budget eIXecution (january)</v>
      </c>
      <c r="D2" s="308"/>
      <c r="E2" s="308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11518.340229999987</v>
      </c>
      <c r="E4" s="98">
        <v>8334.0977100000073</v>
      </c>
      <c r="F4" s="98">
        <v>19852.437939999996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22901.52694</v>
      </c>
      <c r="E7" s="74">
        <v>14232.896939999999</v>
      </c>
      <c r="F7" s="74">
        <v>37134.423880000002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11518.513449999988</v>
      </c>
      <c r="E8" s="74">
        <v>8352.4150500000069</v>
      </c>
      <c r="F8" s="74">
        <v>19870.928499999995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11021.441469999991</v>
      </c>
      <c r="E9" s="74">
        <v>6981.3668600000092</v>
      </c>
      <c r="F9" s="74">
        <v>18002.80833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496.89875999999998</v>
      </c>
      <c r="E10" s="74">
        <v>1352.7308499999999</v>
      </c>
      <c r="F10" s="74">
        <v>1849.62961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06" t="str">
        <f>+IF(Índice!$D$2=1,"Fonte: Secretaria Regional das Finanças","Source: Regional Finance Secretariat")</f>
        <v>Source: Regional Finance Secretariat</v>
      </c>
      <c r="D12" s="306" t="str">
        <f>+IF(Índice!$D$2="PT","Fonte: Vice-Presidência do Governo Regional","Source: Vice-Presidency of the Regional Government")</f>
        <v>Source: Vice-Presidency of the Regional Government</v>
      </c>
      <c r="E12" s="306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C2" sqref="C1:C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 - Execução orçamental dos Serviços e Fundos Autónomos e EPR (janeiro)","TABLE X - ASFs and RPEs budget execution (january)")</f>
        <v>TABLE X - ASFs and RPEs budget execution (january)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33923.141629999991</v>
      </c>
      <c r="E4" s="108">
        <v>20802.798110000007</v>
      </c>
      <c r="F4" s="108">
        <v>54725.939740000002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372.44828000000001</v>
      </c>
      <c r="E8" s="74">
        <v>1068.4510599999999</v>
      </c>
      <c r="F8" s="74">
        <v>1440.8993399999999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33008.879849999998</v>
      </c>
      <c r="E9" s="74">
        <v>17492.787300000007</v>
      </c>
      <c r="F9" s="74">
        <v>50501.667150000008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2115.4400799999999</v>
      </c>
      <c r="E10" s="74">
        <v>155.38125000000002</v>
      </c>
      <c r="F10" s="74">
        <v>2270.8213299999998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30872.320009999996</v>
      </c>
      <c r="E11" s="74">
        <v>17337.406050000009</v>
      </c>
      <c r="F11" s="74">
        <v>48209.726060000001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510.28152999999998</v>
      </c>
      <c r="E12" s="74">
        <v>945.1728999999998</v>
      </c>
      <c r="F12" s="74">
        <v>1455.4544299999998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31.531969999999998</v>
      </c>
      <c r="E13" s="74">
        <v>1296.3868499999999</v>
      </c>
      <c r="F13" s="74">
        <v>1327.9188199999999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496.89875999999998</v>
      </c>
      <c r="E14" s="83">
        <v>1782.51388</v>
      </c>
      <c r="F14" s="83">
        <v>2279.41264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181.6</v>
      </c>
      <c r="F15" s="34">
        <v>181.6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493.50056999999998</v>
      </c>
      <c r="E16" s="34">
        <v>1594.40904</v>
      </c>
      <c r="F16" s="74">
        <v>2087.9096100000002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211.35267000000002</v>
      </c>
      <c r="E17" s="34">
        <v>400.91777999999999</v>
      </c>
      <c r="F17" s="74">
        <v>612.27044999999998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282.14789999999994</v>
      </c>
      <c r="E18" s="74">
        <v>1193.49126</v>
      </c>
      <c r="F18" s="74">
        <v>1475.6391599999999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0</v>
      </c>
      <c r="F19" s="74">
        <v>0</v>
      </c>
    </row>
    <row r="20" spans="2:6" ht="11.25" customHeight="1">
      <c r="C20" s="110" t="str">
        <f>+IF(Índice!$D$2=1,"Receita efetiva","Effective revenue")</f>
        <v>Effective revenue</v>
      </c>
      <c r="D20" s="83">
        <v>34420.040389999987</v>
      </c>
      <c r="E20" s="83">
        <v>22585.311990000006</v>
      </c>
      <c r="F20" s="83">
        <v>57005.352379999997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22901.70016</v>
      </c>
      <c r="E22" s="83">
        <v>13821.431249999998</v>
      </c>
      <c r="F22" s="83">
        <v>36723.131410000002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3727.3962900000015</v>
      </c>
      <c r="E23" s="74">
        <v>11977.908499999998</v>
      </c>
      <c r="F23" s="74">
        <v>15705.304789999998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1028.9431600000005</v>
      </c>
      <c r="E24" s="74">
        <v>740.72699000000023</v>
      </c>
      <c r="F24" s="74">
        <v>1769.6701500000008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0.17321999999999999</v>
      </c>
      <c r="E25" s="74">
        <v>18.317340000000002</v>
      </c>
      <c r="F25" s="74">
        <v>18.490560000000002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17859.92223</v>
      </c>
      <c r="E26" s="74">
        <v>1038.5013199999996</v>
      </c>
      <c r="F26" s="74">
        <v>18898.42355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171.22020000000001</v>
      </c>
      <c r="E27" s="74">
        <v>0</v>
      </c>
      <c r="F27" s="59">
        <v>171.22020000000001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17688.70203</v>
      </c>
      <c r="E28" s="74">
        <v>1038.5013199999996</v>
      </c>
      <c r="F28" s="59">
        <v>18727.20335</v>
      </c>
    </row>
    <row r="29" spans="2:6" ht="11.25" customHeight="1">
      <c r="C29" s="104" t="str">
        <f>+IF(Índice!$D$2=1,"Subsídios","Subsidies")</f>
        <v>Subsidies</v>
      </c>
      <c r="D29" s="74">
        <v>278.77009999999996</v>
      </c>
      <c r="E29" s="74">
        <v>0</v>
      </c>
      <c r="F29" s="74">
        <v>278.77009999999996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6.4951600000000003</v>
      </c>
      <c r="E30" s="74">
        <v>45.9771</v>
      </c>
      <c r="F30" s="74">
        <v>52.472259999999999</v>
      </c>
    </row>
    <row r="31" spans="2:6" ht="11.25" customHeight="1">
      <c r="C31" s="110" t="str">
        <f>+IF(Índice!$D$2=1,"Despesa de capital","Capital expenditure")</f>
        <v>Capital expenditure</v>
      </c>
      <c r="D31" s="83">
        <v>0</v>
      </c>
      <c r="E31" s="83">
        <v>429.78303000000005</v>
      </c>
      <c r="F31" s="83">
        <v>429.78303000000005</v>
      </c>
    </row>
    <row r="32" spans="2:6" ht="11.25" customHeight="1">
      <c r="C32" s="104" t="str">
        <f>+IF(Índice!$D$2=1,"Investimento","Investment")</f>
        <v>Investment</v>
      </c>
      <c r="D32" s="74">
        <v>0</v>
      </c>
      <c r="E32" s="74">
        <v>429.78303000000005</v>
      </c>
      <c r="F32" s="74">
        <v>429.78303000000005</v>
      </c>
    </row>
    <row r="33" spans="3:6" ht="11.25" customHeight="1">
      <c r="C33" s="104" t="str">
        <f>+IF(Índice!$D$2=1,"Transferências capital","Capital transfers")</f>
        <v>Capital transfers</v>
      </c>
      <c r="D33" s="74">
        <v>0</v>
      </c>
      <c r="E33" s="74">
        <v>0</v>
      </c>
      <c r="F33" s="74">
        <v>0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22901.70016</v>
      </c>
      <c r="E36" s="83">
        <v>14251.214279999998</v>
      </c>
      <c r="F36" s="83">
        <v>37152.91444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491.87180000000001</v>
      </c>
      <c r="E38" s="35">
        <v>0</v>
      </c>
      <c r="F38" s="35">
        <v>491.87180000000001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175</v>
      </c>
      <c r="F39" s="35">
        <v>175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11518.340229999987</v>
      </c>
      <c r="E44" s="114">
        <v>8334.0977100000073</v>
      </c>
      <c r="F44" s="114">
        <v>19852.437939999996</v>
      </c>
    </row>
    <row r="45" spans="3:6" ht="15" customHeight="1">
      <c r="C45" s="306" t="str">
        <f>+IF(Índice!$D$2=1,"Fonte: Secretaria Regional das Finanças","Source: Regional Finance Secretariat")</f>
        <v>Source: Regional Finance Secretariat</v>
      </c>
      <c r="D45" s="306" t="str">
        <f>+IF(Índice!$D$2="PT","Fonte: Vice-Presidência do Governo Regional","Source: Vice-Presidency of the Regional Government")</f>
        <v>Source: Vice-Presidency of the Regional Government</v>
      </c>
      <c r="E45" s="306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12" zoomScale="120" zoomScaleNormal="120" zoomScaleSheetLayoutView="100" zoomScalePageLayoutView="150" workbookViewId="0">
      <selection activeCell="B41" sqref="B4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 - Contas a pagar, da Administração Regional, no final de janeiro de 2024 (valores acumulados)","Table XI- Accounts payable of the Regional Administration, january (accumulated)")</f>
        <v>Table XI- Accounts payable of the Regional Administration, january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12" t="s">
        <v>7</v>
      </c>
      <c r="D3" s="309" t="str">
        <f>+IF(Índice!$D$2=1,"janeiro 2024","january 2024")</f>
        <v>january 2024</v>
      </c>
      <c r="E3" s="309" t="str">
        <f>+IF(Índice!$D$2="PT","janeiro 2020","January")</f>
        <v>January</v>
      </c>
      <c r="F3" s="309" t="str">
        <f>+IF(Índice!$D$2="PT","janeiro 2020","January")</f>
        <v>January</v>
      </c>
      <c r="G3" s="316" t="str">
        <f>+IF(Índice!$D$2=1,"Variação face ao stock inicial de janeiro","Change from period initial stock")</f>
        <v>Change from period initial stock</v>
      </c>
      <c r="H3" s="317"/>
      <c r="I3" s="317"/>
    </row>
    <row r="4" spans="2:11" ht="12.75" customHeight="1">
      <c r="C4" s="312"/>
      <c r="D4" s="324" t="str">
        <f>+IF(Índice!$D$2=1,"Stock final do período","Accumulated")</f>
        <v>Accumulated</v>
      </c>
      <c r="E4" s="324"/>
      <c r="F4" s="324"/>
      <c r="G4" s="321" t="str">
        <f>+IF(Índice!$D$2=1,"Passivo","Liabilities")</f>
        <v>Liabilities</v>
      </c>
      <c r="H4" s="321" t="str">
        <f>+IF(Índice!$D$2=1,"Contas a pagar","Accounts payable")</f>
        <v>Accounts payable</v>
      </c>
      <c r="I4" s="310" t="str">
        <f>+IF(Índice!$D$2=1,"Pagamentos em atraso","Late payments")</f>
        <v>Late payments</v>
      </c>
    </row>
    <row r="5" spans="2:11" ht="22.5">
      <c r="B5" s="29"/>
      <c r="C5" s="312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22"/>
      <c r="H5" s="322"/>
      <c r="I5" s="311"/>
    </row>
    <row r="6" spans="2:11">
      <c r="B6" s="29"/>
      <c r="C6" s="119" t="str">
        <f>+IF(Índice!$D$2=1,"Despesa corrente","Current expenditure")</f>
        <v>Current expenditure</v>
      </c>
      <c r="D6" s="162">
        <v>200437081.43999878</v>
      </c>
      <c r="E6" s="162">
        <v>185296485.99999878</v>
      </c>
      <c r="F6" s="162">
        <v>41550741.700000003</v>
      </c>
      <c r="G6" s="91">
        <v>0.19192684338793042</v>
      </c>
      <c r="H6" s="91">
        <v>0.16846522364445837</v>
      </c>
      <c r="I6" s="116">
        <v>0.11279847419910638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5413736.5200000005</v>
      </c>
      <c r="E7" s="165">
        <v>4581984.87</v>
      </c>
      <c r="F7" s="165">
        <v>777.57</v>
      </c>
      <c r="G7" s="95">
        <v>3.2349423165978726</v>
      </c>
      <c r="H7" s="95">
        <v>5.3420376126149662</v>
      </c>
      <c r="I7" s="121">
        <v>0.4374422301918881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139366610.29999879</v>
      </c>
      <c r="E8" s="165">
        <v>138625342.04999879</v>
      </c>
      <c r="F8" s="165">
        <v>40181261.390000001</v>
      </c>
      <c r="G8" s="95">
        <v>0.37571678384286966</v>
      </c>
      <c r="H8" s="95">
        <v>0.37703687824796761</v>
      </c>
      <c r="I8" s="121">
        <v>0.12372802480012401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10965733.9</v>
      </c>
      <c r="E9" s="165">
        <v>5778145.1400000006</v>
      </c>
      <c r="F9" s="165">
        <v>107495.34000000003</v>
      </c>
      <c r="G9" s="95">
        <v>4.1855863912407143E-2</v>
      </c>
      <c r="H9" s="95">
        <v>8.2535353268332612E-2</v>
      </c>
      <c r="I9" s="121">
        <v>-0.66607315197492589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42761317.909999996</v>
      </c>
      <c r="E10" s="165">
        <v>34388489.310000002</v>
      </c>
      <c r="F10" s="165">
        <v>1260616.3499999999</v>
      </c>
      <c r="G10" s="95">
        <v>-0.19608454241402618</v>
      </c>
      <c r="H10" s="95">
        <v>-0.31217043962284641</v>
      </c>
      <c r="I10" s="121">
        <v>1.1689842443252108E-3</v>
      </c>
    </row>
    <row r="11" spans="2:11">
      <c r="B11" s="29"/>
      <c r="C11" s="120" t="str">
        <f>+IF(Índice!$D$2=1,"Subsídios","Subsidies")</f>
        <v>Subsidies</v>
      </c>
      <c r="D11" s="165">
        <v>1849699.0700000008</v>
      </c>
      <c r="E11" s="165">
        <v>1849699.0700000008</v>
      </c>
      <c r="F11" s="165">
        <v>0</v>
      </c>
      <c r="G11" s="95">
        <v>0</v>
      </c>
      <c r="H11" s="95">
        <v>0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79983.739999999991</v>
      </c>
      <c r="E12" s="165">
        <v>72825.56</v>
      </c>
      <c r="F12" s="165">
        <v>591.04999999999995</v>
      </c>
      <c r="G12" s="95">
        <v>5.1733663881397867</v>
      </c>
      <c r="H12" s="95">
        <v>10.470904371274839</v>
      </c>
      <c r="I12" s="121">
        <v>1.2732692307692304</v>
      </c>
    </row>
    <row r="13" spans="2:11">
      <c r="B13" s="29"/>
      <c r="C13" s="115" t="str">
        <f>+IF(Índice!$D$2=1,"Despesa de capital","Capital expenditure")</f>
        <v>Capital expenditure</v>
      </c>
      <c r="D13" s="163">
        <v>45111864.910000004</v>
      </c>
      <c r="E13" s="163">
        <v>29894649.849999998</v>
      </c>
      <c r="F13" s="163">
        <v>293647.42</v>
      </c>
      <c r="G13" s="92">
        <v>-3.2725827485527326E-2</v>
      </c>
      <c r="H13" s="92">
        <v>-5.0210869143608727E-2</v>
      </c>
      <c r="I13" s="117">
        <v>1.8229113931424568E-2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22684328.029999997</v>
      </c>
      <c r="E14" s="165">
        <v>13674591.850000001</v>
      </c>
      <c r="F14" s="165">
        <v>293647.42</v>
      </c>
      <c r="G14" s="95">
        <v>-8.3706440293511375E-2</v>
      </c>
      <c r="H14" s="95">
        <v>-0.13353042869731324</v>
      </c>
      <c r="I14" s="121">
        <v>1.8229113931424568E-2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22427536.880000003</v>
      </c>
      <c r="E15" s="165">
        <v>16220058.000000002</v>
      </c>
      <c r="F15" s="165">
        <v>0</v>
      </c>
      <c r="G15" s="95">
        <v>2.4953321490582159E-2</v>
      </c>
      <c r="H15" s="95">
        <v>3.3580634351919825E-2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245548946.34999877</v>
      </c>
      <c r="E17" s="164">
        <v>215191135.84999877</v>
      </c>
      <c r="F17" s="164">
        <v>41844389.119999997</v>
      </c>
      <c r="G17" s="147">
        <v>0.14314954435383664</v>
      </c>
      <c r="H17" s="147">
        <v>0.13225045564292848</v>
      </c>
      <c r="I17" s="148">
        <v>0.11207365873261677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169653467.60999995</v>
      </c>
      <c r="E19" s="164">
        <v>139308141.04999995</v>
      </c>
      <c r="F19" s="164">
        <v>4283564.259999997</v>
      </c>
      <c r="G19" s="147">
        <v>0.21970307760764385</v>
      </c>
      <c r="H19" s="147">
        <v>0.21812981460948522</v>
      </c>
      <c r="I19" s="148">
        <v>1.2379804774410585E-2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XII - Contas a pagar, do Governo Regional, no final de janeiro de 2024 (valores acumulados)","Table XII - Accounts payable of the Regional Gov., january (accumulated)")</f>
        <v>Table XII - Accounts payable of the Regional Gov., january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12" t="str">
        <f>+IF(Índice!$D$2=1,"Governo Regional","Regional Government")</f>
        <v>Regional Government</v>
      </c>
      <c r="D24" s="309" t="str">
        <f>+IF(Índice!$D$2=1,"janeiro 2024","january 2024")</f>
        <v>january 2024</v>
      </c>
      <c r="E24" s="309" t="str">
        <f>+IF(Índice!$D$2="PT","janeiro 2020","January")</f>
        <v>January</v>
      </c>
      <c r="F24" s="309" t="str">
        <f>+IF(Índice!$D$2="PT","janeiro 2020","January")</f>
        <v>January</v>
      </c>
      <c r="G24" s="316" t="str">
        <f>+IF(Índice!$D$2=1,"Variação face ao stock inicial de janeiro","Change from january initial stock")</f>
        <v>Change from january initial stock</v>
      </c>
      <c r="H24" s="317"/>
      <c r="I24" s="317"/>
    </row>
    <row r="25" spans="2:9" ht="22.5" customHeight="1">
      <c r="B25" s="29"/>
      <c r="C25" s="312"/>
      <c r="D25" s="324" t="str">
        <f>+IF(Índice!$D$2=1,"Stock final do período","Accumulated")</f>
        <v>Accumulated</v>
      </c>
      <c r="E25" s="324"/>
      <c r="F25" s="324"/>
      <c r="G25" s="321" t="str">
        <f>+IF(Índice!$D$2=1,"Passivo","Liabilities")</f>
        <v>Liabilities</v>
      </c>
      <c r="H25" s="321" t="str">
        <f>+IF(Índice!$D$2=1,"Contas a pagar","Accounts payable")</f>
        <v>Accounts payable</v>
      </c>
      <c r="I25" s="310" t="str">
        <f>+IF(Índice!$D$2=1,"Pagamentos em atraso","Late payments")</f>
        <v>Late payments</v>
      </c>
    </row>
    <row r="26" spans="2:9" ht="22.5">
      <c r="B26" s="29"/>
      <c r="C26" s="312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22"/>
      <c r="H26" s="322"/>
      <c r="I26" s="311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49173323.890000008</v>
      </c>
      <c r="E27" s="162">
        <v>42311716.279999994</v>
      </c>
      <c r="F27" s="162">
        <v>1099866.79</v>
      </c>
      <c r="G27" s="91">
        <v>3.0959627967514889</v>
      </c>
      <c r="H27" s="91">
        <v>3.5648551587325574</v>
      </c>
      <c r="I27" s="116">
        <v>4.2803705697175065E-2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33726677.740000002</v>
      </c>
      <c r="E28" s="163">
        <v>27245630.890000001</v>
      </c>
      <c r="F28" s="163">
        <v>3789.88</v>
      </c>
      <c r="G28" s="92">
        <v>1.4905818053431608E-2</v>
      </c>
      <c r="H28" s="172">
        <v>1.7183109529197882E-2</v>
      </c>
      <c r="I28" s="117">
        <v>5.0156825396825395</v>
      </c>
    </row>
    <row r="29" spans="2:9" ht="20.100000000000001" customHeight="1">
      <c r="B29" s="29"/>
      <c r="C29" s="146" t="s">
        <v>7</v>
      </c>
      <c r="D29" s="164">
        <v>82900001.63000001</v>
      </c>
      <c r="E29" s="164">
        <v>69557347.169999987</v>
      </c>
      <c r="F29" s="164">
        <v>1103656.67</v>
      </c>
      <c r="G29" s="147">
        <v>0.832584795187854</v>
      </c>
      <c r="H29" s="147">
        <v>0.92923372668041937</v>
      </c>
      <c r="I29" s="148">
        <v>4.577230493105322E-2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XIII - Contas a pagar, dos Serviços e Fundos Autónomos, no final de janeiro de 2024 (valores acumulados)","Table XIII - Accounts payable of the ASFs, january (accumulated)")</f>
        <v>Table XIII - Accounts payable of the ASFs, january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13" t="str">
        <f>+IF(Índice!$D$2=1,"Serviços e Fundos Autónomos","Autonomous Services and Funds")</f>
        <v>Autonomous Services and Funds</v>
      </c>
      <c r="D33" s="309" t="str">
        <f>+IF(Índice!$D$2=1,"janeiro 2024","january 2024")</f>
        <v>january 2024</v>
      </c>
      <c r="E33" s="309" t="str">
        <f>+IF(Índice!$D$2="PT","janeiro 2020","January")</f>
        <v>January</v>
      </c>
      <c r="F33" s="309" t="str">
        <f>+IF(Índice!$D$2="PT","janeiro 2020","January")</f>
        <v>January</v>
      </c>
      <c r="G33" s="316" t="str">
        <f>+IF(Índice!$D$2=1,"Variação face ao stock inicial de janeiro","Change from january initial stock")</f>
        <v>Change from january initial stock</v>
      </c>
      <c r="H33" s="317"/>
      <c r="I33" s="317"/>
    </row>
    <row r="34" spans="2:9" ht="12.75" customHeight="1">
      <c r="C34" s="314"/>
      <c r="D34" s="318" t="str">
        <f>+IF(Índice!$D$2=1,"Stock final do período","Accumulated")</f>
        <v>Accumulated</v>
      </c>
      <c r="E34" s="319"/>
      <c r="F34" s="320"/>
      <c r="G34" s="323" t="str">
        <f>+IF(Índice!$D$2=1,"Passivo","Liabilities")</f>
        <v>Liabilities</v>
      </c>
      <c r="H34" s="323" t="str">
        <f>+IF(Índice!$D$2=1,"Contas a pagar","Accounts payable")</f>
        <v>Accounts payable</v>
      </c>
      <c r="I34" s="310" t="str">
        <f>+IF(Índice!$D$2=1,"Pagamentos em atraso","Late payments")</f>
        <v>Late payments</v>
      </c>
    </row>
    <row r="35" spans="2:9" ht="22.5">
      <c r="C35" s="315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22"/>
      <c r="H35" s="322"/>
      <c r="I35" s="311"/>
    </row>
    <row r="36" spans="2:9" ht="20.100000000000001" customHeight="1">
      <c r="C36" s="115" t="str">
        <f>+IF(Índice!$D$2=1,"Despesa corrente","Current expenditure")</f>
        <v>Current expenditure</v>
      </c>
      <c r="D36" s="162">
        <v>68729425.689999998</v>
      </c>
      <c r="E36" s="162">
        <v>64754702.480000004</v>
      </c>
      <c r="F36" s="162">
        <v>3095180.38</v>
      </c>
      <c r="G36" s="91">
        <v>-9.0653008065984308E-2</v>
      </c>
      <c r="H36" s="91">
        <v>-0.11316157417904937</v>
      </c>
      <c r="I36" s="116">
        <v>6.3951848579768544E-4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509756.86</v>
      </c>
      <c r="E37" s="163">
        <v>490723.65</v>
      </c>
      <c r="F37" s="163">
        <v>84727.21</v>
      </c>
      <c r="G37" s="92">
        <v>0.36028510871967434</v>
      </c>
      <c r="H37" s="92">
        <v>0.30949502786792404</v>
      </c>
      <c r="I37" s="117">
        <v>2.5380857482858232E-2</v>
      </c>
    </row>
    <row r="38" spans="2:9" ht="20.100000000000001" customHeight="1">
      <c r="C38" s="146" t="s">
        <v>7</v>
      </c>
      <c r="D38" s="164">
        <v>69239182.549999997</v>
      </c>
      <c r="E38" s="164">
        <v>65245426.130000003</v>
      </c>
      <c r="F38" s="164">
        <v>3179907.59</v>
      </c>
      <c r="G38" s="147">
        <v>-8.8428218069776854E-2</v>
      </c>
      <c r="H38" s="147">
        <v>-0.11100347806713773</v>
      </c>
      <c r="I38" s="148">
        <v>1.2832478955178139E-3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XIV - Contas a pagar, das Entidades Públicas Reclassseicadas, no final de janeiro de 2024 (valores acumulados)","Table XIV - Accounts payable of the RPEs, january (accumulated)")</f>
        <v>Table XIV - Accounts payable of the RPEs, january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13" t="str">
        <f>+IF(Índice!$D$2=1,"Entidades Públicas Reclassseicadas","Reclassseied Public Entities")</f>
        <v>Reclassseied Public Entities</v>
      </c>
      <c r="D42" s="309" t="str">
        <f>+IF(Índice!$D$2=1,"janeiro 2024","january 2024")</f>
        <v>january 2024</v>
      </c>
      <c r="E42" s="309" t="str">
        <f>+IF(Índice!$D$2="PT","janeiro 2020","January")</f>
        <v>January</v>
      </c>
      <c r="F42" s="309" t="str">
        <f>+IF(Índice!$D$2="PT","janeiro 2020","January")</f>
        <v>January</v>
      </c>
      <c r="G42" s="316" t="str">
        <f>+IF(Índice!$D$2=1,"Variação face ao stock inicial de janeiro","Change from january initial stock")</f>
        <v>Change from january initial stock</v>
      </c>
      <c r="H42" s="317"/>
      <c r="I42" s="317"/>
    </row>
    <row r="43" spans="2:9" ht="12.75" customHeight="1">
      <c r="C43" s="314"/>
      <c r="D43" s="318" t="str">
        <f>+IF(Índice!$D$2=1,"Stock final do período","Accumulated")</f>
        <v>Accumulated</v>
      </c>
      <c r="E43" s="319"/>
      <c r="F43" s="320"/>
      <c r="G43" s="321" t="str">
        <f>+IF(Índice!$D$2=1,"Passivo","Liabilities")</f>
        <v>Liabilities</v>
      </c>
      <c r="H43" s="321" t="str">
        <f>+IF(Índice!$D$2=1,"Contas a pagar","Accounts payable")</f>
        <v>Accounts payable</v>
      </c>
      <c r="I43" s="310" t="str">
        <f>+IF(Índice!$D$2=1,"Pagamentos em atraso","Late payments")</f>
        <v>Late payments</v>
      </c>
    </row>
    <row r="44" spans="2:9" ht="22.5">
      <c r="C44" s="315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22"/>
      <c r="H44" s="322"/>
      <c r="I44" s="311"/>
    </row>
    <row r="45" spans="2:9" ht="20.100000000000001" customHeight="1">
      <c r="C45" s="115" t="str">
        <f>+IF(Índice!$D$2=1,"Despesa corrente","Current expenditure")</f>
        <v>Current expenditure</v>
      </c>
      <c r="D45" s="162">
        <v>82534331.859998763</v>
      </c>
      <c r="E45" s="162">
        <v>78230067.239998788</v>
      </c>
      <c r="F45" s="162">
        <v>37355694.530000001</v>
      </c>
      <c r="G45" s="91">
        <v>2.4306169777168707E-2</v>
      </c>
      <c r="H45" s="91">
        <v>2.5368384751570661E-2</v>
      </c>
      <c r="I45" s="116">
        <v>0.12547524673821964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10875430.310000001</v>
      </c>
      <c r="E46" s="163">
        <v>2158295.31</v>
      </c>
      <c r="F46" s="163">
        <v>205130.33</v>
      </c>
      <c r="G46" s="92">
        <v>-0.16548624526017719</v>
      </c>
      <c r="H46" s="92">
        <v>-0.49980657469173495</v>
      </c>
      <c r="I46" s="117">
        <v>0</v>
      </c>
    </row>
    <row r="47" spans="2:9" ht="20.100000000000001" customHeight="1">
      <c r="C47" s="146" t="s">
        <v>7</v>
      </c>
      <c r="D47" s="164">
        <v>93409762.169998765</v>
      </c>
      <c r="E47" s="164">
        <v>80388362.54999879</v>
      </c>
      <c r="F47" s="164">
        <v>37560824.859999999</v>
      </c>
      <c r="G47" s="147">
        <v>-2.1166588919822038E-3</v>
      </c>
      <c r="H47" s="147">
        <v>-2.7435395425299269E-3</v>
      </c>
      <c r="I47" s="148">
        <v>0.12470453626131683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4"/>
  <sheetViews>
    <sheetView showGridLines="0" topLeftCell="A55" zoomScale="85" zoomScaleNormal="85" workbookViewId="0">
      <selection activeCell="C2" sqref="C2:C100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290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19</v>
      </c>
      <c r="D10" s="170"/>
      <c r="E10" s="169"/>
    </row>
    <row r="11" spans="2:5">
      <c r="B11" s="195"/>
      <c r="C11" s="170" t="s">
        <v>74</v>
      </c>
      <c r="D11" s="170"/>
      <c r="E11" s="169"/>
    </row>
    <row r="12" spans="2:5">
      <c r="B12" s="195"/>
      <c r="C12" s="170" t="s">
        <v>20</v>
      </c>
      <c r="D12" s="170"/>
      <c r="E12" s="169"/>
    </row>
    <row r="13" spans="2:5">
      <c r="B13" s="195"/>
      <c r="C13" s="170" t="s">
        <v>75</v>
      </c>
      <c r="D13" s="170"/>
      <c r="E13" s="169"/>
    </row>
    <row r="14" spans="2:5">
      <c r="B14" s="195"/>
      <c r="C14" s="170" t="s">
        <v>21</v>
      </c>
      <c r="D14" s="170"/>
      <c r="E14" s="169"/>
    </row>
    <row r="15" spans="2:5">
      <c r="B15" s="195"/>
      <c r="C15" s="170" t="s">
        <v>76</v>
      </c>
      <c r="D15" s="170"/>
      <c r="E15" s="169"/>
    </row>
    <row r="16" spans="2:5">
      <c r="B16" s="195"/>
      <c r="C16" s="170" t="s">
        <v>22</v>
      </c>
      <c r="D16" s="170"/>
      <c r="E16" s="169"/>
    </row>
    <row r="17" spans="2:5">
      <c r="B17" s="195"/>
      <c r="C17" s="170" t="s">
        <v>77</v>
      </c>
      <c r="D17" s="171"/>
      <c r="E17" s="169"/>
    </row>
    <row r="18" spans="2:5">
      <c r="B18" s="195"/>
      <c r="C18" s="170" t="s">
        <v>78</v>
      </c>
      <c r="D18" s="170"/>
      <c r="E18" s="169"/>
    </row>
    <row r="19" spans="2:5">
      <c r="B19" s="195"/>
      <c r="C19" s="170" t="s">
        <v>79</v>
      </c>
      <c r="D19" s="170"/>
      <c r="E19" s="169"/>
    </row>
    <row r="20" spans="2:5">
      <c r="B20" s="195"/>
      <c r="C20" s="170" t="s">
        <v>80</v>
      </c>
      <c r="D20" s="170"/>
      <c r="E20" s="169"/>
    </row>
    <row r="21" spans="2:5">
      <c r="B21" s="195"/>
      <c r="C21" s="170" t="s">
        <v>81</v>
      </c>
      <c r="D21" s="170"/>
      <c r="E21" s="169"/>
    </row>
    <row r="22" spans="2:5">
      <c r="B22" s="195"/>
      <c r="C22" s="170" t="s">
        <v>82</v>
      </c>
      <c r="D22" s="170"/>
      <c r="E22" s="169"/>
    </row>
    <row r="23" spans="2:5">
      <c r="B23" s="195"/>
      <c r="C23" s="170" t="s">
        <v>83</v>
      </c>
      <c r="D23" s="170"/>
      <c r="E23" s="169"/>
    </row>
    <row r="24" spans="2:5">
      <c r="B24" s="195"/>
      <c r="C24" s="170" t="s">
        <v>84</v>
      </c>
      <c r="D24" s="170"/>
      <c r="E24" s="169"/>
    </row>
    <row r="25" spans="2:5">
      <c r="B25" s="195"/>
      <c r="C25" s="170" t="s">
        <v>85</v>
      </c>
      <c r="D25" s="170"/>
      <c r="E25" s="169"/>
    </row>
    <row r="26" spans="2:5">
      <c r="B26" s="195"/>
      <c r="C26" s="170" t="s">
        <v>86</v>
      </c>
      <c r="D26" s="170"/>
      <c r="E26" s="169"/>
    </row>
    <row r="27" spans="2:5">
      <c r="B27" s="195"/>
      <c r="C27" s="170" t="s">
        <v>87</v>
      </c>
      <c r="D27" s="170"/>
      <c r="E27" s="169"/>
    </row>
    <row r="28" spans="2:5">
      <c r="B28" s="195"/>
      <c r="C28" s="170" t="s">
        <v>23</v>
      </c>
      <c r="D28" s="170"/>
      <c r="E28" s="169"/>
    </row>
    <row r="29" spans="2:5">
      <c r="B29" s="55"/>
      <c r="C29" s="171" t="s">
        <v>24</v>
      </c>
      <c r="D29" s="170"/>
      <c r="E29" s="169"/>
    </row>
    <row r="30" spans="2:5">
      <c r="B30" s="55"/>
      <c r="C30" s="170" t="s">
        <v>25</v>
      </c>
      <c r="D30" s="170"/>
      <c r="E30" s="169"/>
    </row>
    <row r="31" spans="2:5">
      <c r="B31" s="55"/>
      <c r="C31" s="170" t="s">
        <v>26</v>
      </c>
      <c r="D31" s="170"/>
      <c r="E31" s="169"/>
    </row>
    <row r="32" spans="2:5">
      <c r="B32" s="55"/>
      <c r="C32" s="170" t="s">
        <v>27</v>
      </c>
      <c r="D32" s="170"/>
      <c r="E32" s="169"/>
    </row>
    <row r="33" spans="2:5">
      <c r="B33" s="55"/>
      <c r="C33" s="171" t="s">
        <v>28</v>
      </c>
      <c r="D33" s="170"/>
      <c r="E33" s="169"/>
    </row>
    <row r="34" spans="2:5">
      <c r="B34" s="55"/>
      <c r="C34" s="170" t="s">
        <v>88</v>
      </c>
      <c r="D34" s="170"/>
      <c r="E34" s="169"/>
    </row>
    <row r="35" spans="2:5">
      <c r="B35" s="55"/>
      <c r="C35" s="170" t="s">
        <v>89</v>
      </c>
      <c r="D35" s="170"/>
      <c r="E35" s="169"/>
    </row>
    <row r="36" spans="2:5">
      <c r="B36" s="55"/>
      <c r="C36" s="170" t="s">
        <v>66</v>
      </c>
      <c r="D36" s="170"/>
      <c r="E36" s="169"/>
    </row>
    <row r="37" spans="2:5">
      <c r="B37" s="55"/>
      <c r="C37" s="170" t="s">
        <v>29</v>
      </c>
      <c r="D37" s="170"/>
      <c r="E37" s="169"/>
    </row>
    <row r="38" spans="2:5">
      <c r="B38" s="55"/>
      <c r="C38" s="170" t="s">
        <v>90</v>
      </c>
      <c r="D38" s="170"/>
      <c r="E38" s="169"/>
    </row>
    <row r="39" spans="2:5">
      <c r="B39" s="55"/>
      <c r="C39" s="170" t="s">
        <v>30</v>
      </c>
      <c r="D39" s="170"/>
      <c r="E39" s="169"/>
    </row>
    <row r="40" spans="2:5">
      <c r="B40" s="55"/>
      <c r="C40" s="170" t="s">
        <v>67</v>
      </c>
      <c r="D40" s="170"/>
      <c r="E40" s="169"/>
    </row>
    <row r="41" spans="2:5">
      <c r="B41" s="55"/>
      <c r="C41" s="171" t="s">
        <v>31</v>
      </c>
      <c r="D41" s="170"/>
      <c r="E41" s="169"/>
    </row>
    <row r="42" spans="2:5">
      <c r="B42" s="55"/>
      <c r="C42" s="170" t="s">
        <v>91</v>
      </c>
      <c r="D42" s="170"/>
      <c r="E42" s="169"/>
    </row>
    <row r="43" spans="2:5">
      <c r="B43" s="55"/>
      <c r="C43" s="170" t="s">
        <v>69</v>
      </c>
      <c r="D43" s="171"/>
      <c r="E43" s="169"/>
    </row>
    <row r="44" spans="2:5">
      <c r="B44" s="55"/>
      <c r="C44" s="170" t="s">
        <v>32</v>
      </c>
      <c r="D44" s="170"/>
      <c r="E44" s="169"/>
    </row>
    <row r="45" spans="2:5">
      <c r="B45" s="55"/>
      <c r="C45" s="171" t="s">
        <v>33</v>
      </c>
      <c r="D45" s="171"/>
      <c r="E45" s="169"/>
    </row>
    <row r="46" spans="2:5">
      <c r="B46" s="55"/>
      <c r="C46" s="170" t="s">
        <v>34</v>
      </c>
      <c r="D46" s="170"/>
      <c r="E46" s="169"/>
    </row>
    <row r="47" spans="2:5">
      <c r="B47" s="55"/>
      <c r="C47" s="170" t="s">
        <v>35</v>
      </c>
      <c r="D47" s="170"/>
      <c r="E47" s="169"/>
    </row>
    <row r="48" spans="2:5">
      <c r="B48" s="55"/>
      <c r="C48" s="170" t="s">
        <v>36</v>
      </c>
      <c r="D48" s="170"/>
      <c r="E48" s="169"/>
    </row>
    <row r="49" spans="2:5">
      <c r="B49" s="55"/>
      <c r="C49" s="170" t="s">
        <v>37</v>
      </c>
      <c r="D49" s="170"/>
      <c r="E49" s="169"/>
    </row>
    <row r="50" spans="2:5">
      <c r="B50" s="55"/>
      <c r="C50" s="171" t="s">
        <v>38</v>
      </c>
      <c r="D50" s="171"/>
      <c r="E50" s="169"/>
    </row>
    <row r="51" spans="2:5">
      <c r="B51" s="55"/>
      <c r="C51" s="170" t="s">
        <v>39</v>
      </c>
      <c r="D51" s="170"/>
      <c r="E51" s="169"/>
    </row>
    <row r="52" spans="2:5">
      <c r="B52" s="55"/>
      <c r="C52" s="170" t="s">
        <v>40</v>
      </c>
      <c r="D52" s="170"/>
      <c r="E52" s="169"/>
    </row>
    <row r="53" spans="2:5">
      <c r="B53" s="55"/>
      <c r="C53" s="171" t="s">
        <v>58</v>
      </c>
      <c r="D53" s="170"/>
      <c r="E53" s="169"/>
    </row>
    <row r="54" spans="2:5">
      <c r="B54" s="55"/>
      <c r="C54" s="170" t="s">
        <v>39</v>
      </c>
      <c r="D54" s="171"/>
      <c r="E54" s="169"/>
    </row>
    <row r="55" spans="2:5">
      <c r="B55" s="55"/>
      <c r="C55" s="170" t="s">
        <v>70</v>
      </c>
    </row>
    <row r="56" spans="2:5">
      <c r="B56" s="55"/>
      <c r="C56" s="170" t="s">
        <v>68</v>
      </c>
    </row>
    <row r="57" spans="2:5">
      <c r="B57" s="55"/>
      <c r="C57" s="171" t="s">
        <v>41</v>
      </c>
    </row>
    <row r="58" spans="2:5">
      <c r="B58" s="55"/>
      <c r="C58" s="170" t="s">
        <v>42</v>
      </c>
    </row>
    <row r="59" spans="2:5">
      <c r="B59" s="55"/>
      <c r="C59" s="171" t="s">
        <v>43</v>
      </c>
    </row>
    <row r="60" spans="2:5">
      <c r="B60" s="55"/>
      <c r="C60" s="170" t="s">
        <v>92</v>
      </c>
    </row>
    <row r="61" spans="2:5">
      <c r="B61" s="55"/>
      <c r="C61" s="171" t="s">
        <v>44</v>
      </c>
    </row>
    <row r="62" spans="2:5">
      <c r="B62" s="55"/>
      <c r="C62" s="170" t="s">
        <v>45</v>
      </c>
    </row>
    <row r="63" spans="2:5">
      <c r="B63" s="55"/>
      <c r="C63" s="170" t="s">
        <v>46</v>
      </c>
    </row>
    <row r="64" spans="2:5">
      <c r="B64" s="55"/>
      <c r="C64" s="170" t="s">
        <v>47</v>
      </c>
    </row>
    <row r="65" spans="2:3">
      <c r="B65" s="55"/>
      <c r="C65" s="170" t="s">
        <v>48</v>
      </c>
    </row>
    <row r="66" spans="2:3">
      <c r="B66" s="55"/>
      <c r="C66" s="170" t="s">
        <v>49</v>
      </c>
    </row>
    <row r="67" spans="2:3">
      <c r="B67" s="55"/>
      <c r="C67" s="170"/>
    </row>
    <row r="68" spans="2:3" ht="13.5" customHeight="1">
      <c r="B68" s="55"/>
      <c r="C68" s="294"/>
    </row>
    <row r="69" spans="2:3" ht="13.5" customHeight="1">
      <c r="B69" s="55"/>
      <c r="C69" s="293"/>
    </row>
    <row r="70" spans="2:3" ht="13.5" customHeight="1">
      <c r="B70" s="55"/>
      <c r="C70" s="293"/>
    </row>
    <row r="71" spans="2:3">
      <c r="B71" s="55"/>
      <c r="C71" s="275"/>
    </row>
    <row r="72" spans="2:3" ht="30.75" customHeight="1">
      <c r="B72" s="16"/>
      <c r="C72" s="290" t="s">
        <v>11</v>
      </c>
    </row>
    <row r="73" spans="2:3">
      <c r="B73" s="55"/>
      <c r="C73" s="171" t="s">
        <v>13</v>
      </c>
    </row>
    <row r="74" spans="2:3">
      <c r="B74" s="55"/>
      <c r="C74" s="170" t="s">
        <v>13</v>
      </c>
    </row>
    <row r="75" spans="2:3">
      <c r="B75" s="55"/>
      <c r="C75" s="171" t="s">
        <v>17</v>
      </c>
    </row>
    <row r="76" spans="2:3">
      <c r="B76" s="55"/>
      <c r="C76" s="170" t="s">
        <v>50</v>
      </c>
    </row>
    <row r="77" spans="2:3">
      <c r="B77" s="55"/>
      <c r="C77" s="170" t="s">
        <v>51</v>
      </c>
    </row>
    <row r="78" spans="2:3">
      <c r="B78" s="55"/>
      <c r="C78" s="170" t="s">
        <v>72</v>
      </c>
    </row>
    <row r="79" spans="2:3">
      <c r="B79" s="55"/>
      <c r="C79" s="171" t="s">
        <v>24</v>
      </c>
    </row>
    <row r="80" spans="2:3">
      <c r="B80" s="55"/>
      <c r="C80" s="170" t="s">
        <v>52</v>
      </c>
    </row>
    <row r="81" spans="2:3">
      <c r="B81" s="55"/>
      <c r="C81" s="170" t="s">
        <v>53</v>
      </c>
    </row>
    <row r="82" spans="2:3">
      <c r="B82" s="55"/>
      <c r="C82" s="171" t="s">
        <v>28</v>
      </c>
    </row>
    <row r="83" spans="2:3">
      <c r="B83" s="55"/>
      <c r="C83" s="170" t="s">
        <v>54</v>
      </c>
    </row>
    <row r="84" spans="2:3">
      <c r="B84" s="55"/>
      <c r="C84" s="170" t="s">
        <v>55</v>
      </c>
    </row>
    <row r="85" spans="2:3">
      <c r="B85" s="55"/>
      <c r="C85" s="170" t="s">
        <v>73</v>
      </c>
    </row>
    <row r="86" spans="2:3">
      <c r="B86" s="55"/>
      <c r="C86" s="171" t="s">
        <v>31</v>
      </c>
    </row>
    <row r="87" spans="2:3">
      <c r="B87" s="55"/>
      <c r="C87" s="170" t="s">
        <v>56</v>
      </c>
    </row>
    <row r="88" spans="2:3">
      <c r="B88" s="55"/>
      <c r="C88" s="171" t="s">
        <v>38</v>
      </c>
    </row>
    <row r="89" spans="2:3">
      <c r="B89" s="55"/>
      <c r="C89" s="170" t="s">
        <v>57</v>
      </c>
    </row>
    <row r="90" spans="2:3">
      <c r="B90" s="55"/>
      <c r="C90" s="171" t="s">
        <v>58</v>
      </c>
    </row>
    <row r="91" spans="2:3">
      <c r="B91" s="55"/>
      <c r="C91" s="170" t="s">
        <v>59</v>
      </c>
    </row>
    <row r="92" spans="2:3">
      <c r="B92" s="55"/>
      <c r="C92" s="171" t="s">
        <v>43</v>
      </c>
    </row>
    <row r="93" spans="2:3">
      <c r="B93" s="55"/>
      <c r="C93" s="170" t="s">
        <v>60</v>
      </c>
    </row>
    <row r="94" spans="2:3">
      <c r="B94" s="55"/>
      <c r="C94" s="171" t="s">
        <v>44</v>
      </c>
    </row>
    <row r="95" spans="2:3">
      <c r="B95" s="55"/>
      <c r="C95" s="170" t="s">
        <v>61</v>
      </c>
    </row>
    <row r="96" spans="2:3">
      <c r="B96" s="55"/>
      <c r="C96" s="170" t="s">
        <v>62</v>
      </c>
    </row>
    <row r="97" spans="2:3">
      <c r="B97" s="55"/>
      <c r="C97" s="170" t="s">
        <v>63</v>
      </c>
    </row>
    <row r="98" spans="2:3">
      <c r="B98" s="55"/>
      <c r="C98" s="170" t="s">
        <v>64</v>
      </c>
    </row>
    <row r="99" spans="2:3">
      <c r="B99" s="55"/>
      <c r="C99" s="170" t="s">
        <v>65</v>
      </c>
    </row>
    <row r="100" spans="2:3">
      <c r="B100" s="55"/>
      <c r="C100" s="170"/>
    </row>
    <row r="101" spans="2:3">
      <c r="B101" s="55"/>
      <c r="C101" s="325"/>
    </row>
    <row r="102" spans="2:3">
      <c r="C102" s="291"/>
    </row>
    <row r="103" spans="2:3">
      <c r="C103" s="291"/>
    </row>
    <row r="104" spans="2:3">
      <c r="C104" s="292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0"/>
  <sheetViews>
    <sheetView showGridLines="0" zoomScale="130" zoomScaleNormal="130" workbookViewId="0">
      <selection activeCell="A20" sqref="A20:D20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+'Q3_ R_fiscal'!C2</f>
        <v>TABLE III - Regional Gov. tax revenue budget execution (january)</v>
      </c>
      <c r="B5" s="217"/>
      <c r="C5" s="217"/>
      <c r="D5" s="217"/>
    </row>
    <row r="6" spans="1:25" s="179" customFormat="1" ht="20.100000000000001" customHeight="1">
      <c r="A6" s="269" t="str">
        <f>+Q4_R_n_fiscal!C2</f>
        <v>TABLE IV - Regional GoIV. non-tax reIVenue budget execution (january)</v>
      </c>
      <c r="B6" s="217"/>
      <c r="C6" s="217"/>
      <c r="D6" s="217"/>
    </row>
    <row r="7" spans="1:25" s="179" customFormat="1" ht="20.100000000000001" customHeight="1">
      <c r="A7" s="269" t="str">
        <f>+'Q5_D_Est ECO'!C2</f>
        <v>TABLE V - Regional Gov. expenditure budget execution (january)</v>
      </c>
      <c r="B7"/>
      <c r="C7"/>
      <c r="D7"/>
    </row>
    <row r="8" spans="1:25" s="179" customFormat="1" ht="20.100000000000001" customHeight="1">
      <c r="A8" s="269" t="str">
        <f>+Q6_D_Est_Func!C2</f>
        <v>TABLE VI - Regional Gov. expenditure by functional classification (january)</v>
      </c>
      <c r="B8" s="217"/>
      <c r="C8" s="217"/>
      <c r="D8" s="217"/>
    </row>
    <row r="9" spans="1:25" s="179" customFormat="1" ht="20.100000000000001" customHeight="1">
      <c r="A9" s="269" t="str">
        <f>+Q7_D_Est_Org!C2</f>
        <v>TABLE VII - Budget execution by organic and economic cross-classification (january)</v>
      </c>
      <c r="B9" s="217"/>
      <c r="C9" s="217"/>
      <c r="D9" s="217"/>
    </row>
    <row r="10" spans="1:25" s="179" customFormat="1" ht="20.100000000000001" customHeight="1">
      <c r="A10" s="269" t="str">
        <f>+'Q8_Saldo_Global EPR'!C2</f>
        <v>TABLE VIII - RPEs global balance (january)</v>
      </c>
      <c r="B10" s="217"/>
      <c r="C10" s="217"/>
      <c r="D10" s="217"/>
    </row>
    <row r="11" spans="1:25" s="179" customFormat="1" ht="20.100000000000001" customHeight="1">
      <c r="A11" s="284" t="str">
        <f>+'Q9_SFA '!C2</f>
        <v>TABLE IX - ASFs and RPEs budget eIXecution (january)</v>
      </c>
      <c r="B11" s="285"/>
      <c r="C11" s="285"/>
      <c r="D11" s="217"/>
    </row>
    <row r="12" spans="1:25" s="179" customFormat="1" ht="20.100000000000001" customHeight="1">
      <c r="A12" s="269" t="str">
        <f>+'Q10_SFA acumulado'!C2</f>
        <v>TABLE X - ASFs and RPEs budget execution (january)</v>
      </c>
      <c r="B12" s="217"/>
      <c r="C12" s="217"/>
      <c r="D12" s="217"/>
    </row>
    <row r="13" spans="1:25" s="179" customFormat="1" ht="20.100000000000001" customHeight="1">
      <c r="A13" s="284" t="str">
        <f>+Q_11_12_13_14_Compromissos!C2</f>
        <v>Table XI- Accounts payable of the Regional Administration, january (accumulated)</v>
      </c>
      <c r="B13" s="285"/>
      <c r="C13" s="285"/>
      <c r="D13" s="285"/>
    </row>
    <row r="14" spans="1:25" s="179" customFormat="1" ht="20.100000000000001" customHeight="1">
      <c r="A14" s="284" t="str">
        <f>+Q_11_12_13_14_Compromissos!C23</f>
        <v>Table XII - Accounts payable of the Regional Gov., january (accumulated)</v>
      </c>
      <c r="B14" s="285"/>
      <c r="C14" s="285"/>
      <c r="D14" s="285"/>
    </row>
    <row r="15" spans="1:25" s="179" customFormat="1" ht="20.100000000000001" customHeight="1">
      <c r="A15" s="284" t="str">
        <f>+Q_11_12_13_14_Compromissos!C32</f>
        <v>Table XIII - Accounts payable of the ASFs, january (accumulated)</v>
      </c>
      <c r="B15" s="285"/>
      <c r="C15" s="285"/>
      <c r="D15" s="285"/>
    </row>
    <row r="16" spans="1:25" s="169" customFormat="1" ht="20.100000000000001" customHeight="1">
      <c r="A16" s="269" t="str">
        <f>+Q_11_12_13_14_Compromissos!C41</f>
        <v>Table XIV - Accounts payable of the RPEs, january (accumulated)</v>
      </c>
      <c r="B16" s="217"/>
      <c r="C16" s="217"/>
      <c r="D16" s="217"/>
    </row>
    <row r="17" spans="1:4" s="179" customFormat="1" ht="20.100000000000001" customHeight="1">
      <c r="A17" s="217" t="str">
        <f>+'Pagamentos_Atraso '!C2</f>
        <v>Lista de entidades que cumprem com o estabelecido no art.º 7.º da LCPA (Serviços Integrados)</v>
      </c>
      <c r="B17" s="217"/>
      <c r="C17" s="217"/>
      <c r="D17" s="217"/>
    </row>
    <row r="18" spans="1:4" s="179" customFormat="1" ht="20.100000000000001" customHeight="1">
      <c r="A18" s="269" t="str">
        <f>'Pagamentos_Atraso '!C72</f>
        <v>Lista de entidades que cumprem com o estabelecido no art.º 7.º da LCPA (SFA/EPR)</v>
      </c>
      <c r="B18" s="217"/>
      <c r="C18" s="217"/>
      <c r="D18" s="217"/>
    </row>
    <row r="19" spans="1:4">
      <c r="A19" s="169"/>
      <c r="B19" s="285"/>
      <c r="C19" s="285"/>
      <c r="D19" s="285"/>
    </row>
    <row r="20" spans="1:4">
      <c r="A20" s="295"/>
      <c r="B20" s="295"/>
      <c r="C20" s="295"/>
      <c r="D20" s="295"/>
    </row>
  </sheetData>
  <mergeCells count="1">
    <mergeCell ref="A20:D20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5" location="'Q4_ R_fiscal'!B2" display="'Q4_ R_fiscal'!B2" xr:uid="{8C3F32CF-CB5D-4C4B-91F0-3DBF99E72AFF}"/>
    <hyperlink ref="A6" location="Q5_R_n_fiscal!B2" display="Q5_R_n_fiscal!B2" xr:uid="{4D51F3FB-D210-40AF-BC81-B0EFC32302B1}"/>
    <hyperlink ref="A8" location="Q7_D_Est_Func!B2" display="Q7_D_Est_Func!B2" xr:uid="{DB99BAB6-36F5-494B-841E-18DB72003739}"/>
    <hyperlink ref="A9" location="Q8_D_Est_Org!B2" display="Q8_D_Est_Org!B2" xr:uid="{23A5696D-775A-42B4-B16B-8C40BCDC42E4}"/>
    <hyperlink ref="A10" location="'Q9_Saldo_Global EPR'!B2" display="'Q9_Saldo_Global EPR'!B2" xr:uid="{ED449137-F13D-44F9-88F9-DFF493312589}"/>
    <hyperlink ref="A12" location="'Q11_SFA acumulado'!B2" display="'Q11_SFA acumulado'!B2" xr:uid="{ADBEC935-DCE9-4236-8232-0EDE4028CC74}"/>
    <hyperlink ref="A16" location="Q_11_12_13_14_Compromissos!B41" display="Q_11_12_13_14_Compromissos!B41" xr:uid="{BAD9A133-E14F-407B-899C-D23381A55606}"/>
    <hyperlink ref="A17" location="'Pagamentos_Atraso '!B2" display="Lista de entidades que cumprem com o estabelecido no art.º 7.º da LCPA (Serviços Integrados)" xr:uid="{BBAB661D-6B78-40E8-B9DD-E380E22DAE77}"/>
    <hyperlink ref="A18" location="'Pagamentos_Atraso '!B72" display="'Pagamentos_Atraso '!B72" xr:uid="{F718D3A5-B7AF-46BB-9849-9E40F5F28D40}"/>
    <hyperlink ref="A11" location="'Q10_SFA '!B2" display="'Q10_SFA '!B2" xr:uid="{8D1A7F21-9568-46EC-9B75-556892F57933}"/>
    <hyperlink ref="A13" location="Q_11_12_13_14_Compromissos!B2" display="Q_11_12_13_14_Compromissos!B2" xr:uid="{B7AE2B94-05CF-4D8E-8A81-72508CF8DB67}"/>
    <hyperlink ref="A14" location="Q_11_12_13_14_Compromissos!B23" display="Q_11_12_13_14_Compromissos!B23" xr:uid="{4D85DF17-CBC3-4CA4-9E81-59CFADE51B83}"/>
    <hyperlink ref="A15" location="Q_11_12_13_14_Compromissos!B32" display="Q_11_12_13_14_Compromissos!B32" xr:uid="{8538F7F0-97D0-48DD-B480-761461E7389D}"/>
    <hyperlink ref="A7" location="Q5_R_n_fiscal!B2" display="Q5_R_n_fiscal!B2" xr:uid="{9A14F102-630B-426C-8C10-A6DD15486191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E6" sqref="E6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(janeiro)","TABLE I - Consolidated budget execution (january)")</f>
        <v>TABLE I - Consolidated budget execution (january)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2023","Consolidated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99909.147659999988</v>
      </c>
      <c r="E5" s="57">
        <v>33923.141629999991</v>
      </c>
      <c r="F5" s="57">
        <v>20802.798110000007</v>
      </c>
      <c r="G5" s="57">
        <v>133563.78145000001</v>
      </c>
      <c r="H5" s="57">
        <v>21.174695334961811</v>
      </c>
    </row>
    <row r="6" spans="1:10" ht="11.25" customHeight="1">
      <c r="C6" s="68" t="str">
        <f>+IF(Índice!$D$2=1,"Impostos diretos","Direct taxes")</f>
        <v>Direct taxes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</row>
    <row r="7" spans="1:10">
      <c r="C7" s="68" t="str">
        <f>+IF(Índice!$D$2=1,"Impostos indiretos","Indirect taxes")</f>
        <v>Indirect taxes</v>
      </c>
      <c r="D7" s="56">
        <v>49431.285279999996</v>
      </c>
      <c r="E7" s="56">
        <v>0</v>
      </c>
      <c r="F7" s="56">
        <v>0</v>
      </c>
      <c r="G7" s="56">
        <v>49431.285279999996</v>
      </c>
      <c r="H7" s="56">
        <v>12.310473715873481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50477.862379999999</v>
      </c>
      <c r="E9" s="56">
        <v>33923.141629999991</v>
      </c>
      <c r="F9" s="56">
        <v>20802.798110000007</v>
      </c>
      <c r="G9" s="56">
        <v>56994.776060000004</v>
      </c>
      <c r="H9" s="56">
        <v>6.8935192683091229</v>
      </c>
    </row>
    <row r="10" spans="1:10">
      <c r="C10" s="69" t="str">
        <f>+IF(Índice!$D$2=1,"Transferências correntes","Current transfers")</f>
        <v>Current transfers</v>
      </c>
      <c r="D10" s="56">
        <v>49222.510999999999</v>
      </c>
      <c r="E10" s="56">
        <v>33008.879849999998</v>
      </c>
      <c r="F10" s="56">
        <v>17492.787300000007</v>
      </c>
      <c r="G10" s="56">
        <v>51515.152090000003</v>
      </c>
      <c r="H10" s="56">
        <v>6.6884212776078256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49178.053</v>
      </c>
      <c r="E11" s="56">
        <v>21.119760000000003</v>
      </c>
      <c r="F11" s="56">
        <v>0</v>
      </c>
      <c r="G11" s="56">
        <v>49199.172760000001</v>
      </c>
      <c r="H11" s="56">
        <v>7.8057859976210286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30872.320009999999</v>
      </c>
      <c r="F12" s="56">
        <v>17336.706050000001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27137.720110000006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30428.426189999998</v>
      </c>
      <c r="E14" s="57">
        <v>496.89875999999998</v>
      </c>
      <c r="F14" s="57">
        <v>1782.51388</v>
      </c>
      <c r="G14" s="57">
        <v>32425.690929999997</v>
      </c>
      <c r="H14" s="57">
        <v>84.202708483793913</v>
      </c>
    </row>
    <row r="15" spans="1:10">
      <c r="C15" s="68" t="str">
        <f>+IF(Índice!$D$2=1,"Venda de bens de investimento","Sale of investment goods")</f>
        <v>Sale of investment goods</v>
      </c>
      <c r="D15" s="56">
        <v>306.94</v>
      </c>
      <c r="E15" s="56">
        <v>0</v>
      </c>
      <c r="F15" s="56">
        <v>181.6</v>
      </c>
      <c r="G15" s="56">
        <v>488.53999999999996</v>
      </c>
      <c r="H15" s="56">
        <v>110896.50111328212</v>
      </c>
    </row>
    <row r="16" spans="1:10" ht="11.25" customHeight="1">
      <c r="C16" s="68" t="str">
        <f>+IF(Índice!$D$2=1,"Transferências capital","Capital transfers")</f>
        <v>Capital transfers</v>
      </c>
      <c r="D16" s="56">
        <v>30029.0789</v>
      </c>
      <c r="E16" s="56">
        <v>493.50056999999998</v>
      </c>
      <c r="F16" s="56">
        <v>1594.40904</v>
      </c>
      <c r="G16" s="56">
        <v>30641.34935</v>
      </c>
      <c r="H16" s="56">
        <v>78.188899820286139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27047.929</v>
      </c>
      <c r="E17" s="56">
        <v>0</v>
      </c>
      <c r="F17" s="56">
        <v>0</v>
      </c>
      <c r="G17" s="56">
        <v>27047.929</v>
      </c>
      <c r="H17" s="56">
        <v>138.78646928740244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282.14790000000005</v>
      </c>
      <c r="F18" s="56">
        <v>1193.4912600000002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1193.4912600000002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130337.57384999999</v>
      </c>
      <c r="E20" s="57">
        <v>34420.040389999987</v>
      </c>
      <c r="F20" s="57">
        <v>22585.311990000006</v>
      </c>
      <c r="G20" s="57">
        <v>165989.47237999999</v>
      </c>
      <c r="H20" s="57">
        <v>29.85435762291182</v>
      </c>
    </row>
    <row r="21" spans="3:8" ht="20.25" customHeight="1">
      <c r="C21" s="220" t="str">
        <f>+IF(Índice!$D$2=1,"Despesa corrente","Current expenditure")</f>
        <v>Current expenditure</v>
      </c>
      <c r="D21" s="220">
        <v>56670.387699999912</v>
      </c>
      <c r="E21" s="220">
        <v>22901.70016</v>
      </c>
      <c r="F21" s="220">
        <v>13821.431249999996</v>
      </c>
      <c r="G21" s="220">
        <v>72322.213159999927</v>
      </c>
      <c r="H21" s="220">
        <v>-10.543053923922685</v>
      </c>
    </row>
    <row r="22" spans="3:8" ht="10.5" customHeight="1">
      <c r="C22" s="68" t="str">
        <f>+IF(Índice!$D$2=1,"Consumo público","Public consumption")</f>
        <v>Public consumption</v>
      </c>
      <c r="D22" s="56">
        <v>29845.717679999922</v>
      </c>
      <c r="E22" s="56">
        <v>4762.8346100000017</v>
      </c>
      <c r="F22" s="56">
        <v>12764.612589999997</v>
      </c>
      <c r="G22" s="56">
        <v>47373.164879999924</v>
      </c>
      <c r="H22" s="56">
        <v>-11.905851082398511</v>
      </c>
    </row>
    <row r="23" spans="3:8">
      <c r="C23" s="69" t="str">
        <f>+IF(Índice!$D$2=1,"Despesas com o pessoal","Compensation of employees")</f>
        <v>Compensation of employees</v>
      </c>
      <c r="D23" s="56">
        <v>27512.740669999923</v>
      </c>
      <c r="E23" s="56">
        <v>3727.3962900000015</v>
      </c>
      <c r="F23" s="56">
        <v>11977.908499999998</v>
      </c>
      <c r="G23" s="56">
        <v>43218.045459999921</v>
      </c>
      <c r="H23" s="56">
        <v>-6.891672155523743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2332.9770099999996</v>
      </c>
      <c r="E24" s="56">
        <v>1035.4383200000004</v>
      </c>
      <c r="F24" s="56">
        <v>786.70409000000018</v>
      </c>
      <c r="G24" s="56">
        <v>4155.11942</v>
      </c>
      <c r="H24" s="56">
        <v>-43.534287592120023</v>
      </c>
    </row>
    <row r="25" spans="3:8">
      <c r="C25" s="68" t="str">
        <f>+IF(Índice!$D$2=1,"Subsídios","Subsidies")</f>
        <v>Subsidies</v>
      </c>
      <c r="D25" s="56">
        <v>0</v>
      </c>
      <c r="E25" s="56">
        <v>278.77009999999996</v>
      </c>
      <c r="F25" s="56">
        <v>0</v>
      </c>
      <c r="G25" s="56">
        <v>278.77009999999996</v>
      </c>
      <c r="H25" s="56">
        <v>-86.626874633075104</v>
      </c>
    </row>
    <row r="26" spans="3:8">
      <c r="C26" s="68" t="str">
        <f>+IF(Índice!$D$2=1,"Juros e outros encargos","Interests and other charges")</f>
        <v>Interests and other charges</v>
      </c>
      <c r="D26" s="56">
        <v>18859.340049999995</v>
      </c>
      <c r="E26" s="56">
        <v>0.17321999999999999</v>
      </c>
      <c r="F26" s="56">
        <v>18.317340000000002</v>
      </c>
      <c r="G26" s="56">
        <v>18877.830609999994</v>
      </c>
      <c r="H26" s="56">
        <v>3.8574554867176758</v>
      </c>
    </row>
    <row r="27" spans="3:8">
      <c r="C27" s="68" t="str">
        <f>+IF(Índice!$D$2=1,"Transferências correntes","Current transfers")</f>
        <v>Current transfers</v>
      </c>
      <c r="D27" s="56">
        <v>7965.3299699999998</v>
      </c>
      <c r="E27" s="56">
        <v>17859.92223</v>
      </c>
      <c r="F27" s="56">
        <v>1038.5013199999996</v>
      </c>
      <c r="G27" s="56">
        <v>5792.4475700000003</v>
      </c>
      <c r="H27" s="56">
        <v>-14.92949102942811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171.22020000000001</v>
      </c>
      <c r="F28" s="56">
        <v>0</v>
      </c>
      <c r="G28" s="56">
        <v>171.22020000000001</v>
      </c>
      <c r="H28" s="56">
        <v>58.283602061696513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4555.0929499999993</v>
      </c>
      <c r="E29" s="56">
        <v>16516.213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641.20282000000009</v>
      </c>
      <c r="E31" s="57">
        <v>0</v>
      </c>
      <c r="F31" s="57">
        <v>429.78303000000005</v>
      </c>
      <c r="G31" s="57">
        <v>788.83794999999998</v>
      </c>
      <c r="H31" s="57">
        <v>-49.598910841925779</v>
      </c>
    </row>
    <row r="32" spans="3:8">
      <c r="C32" s="68" t="str">
        <f>+IF(Índice!$D$2=1,"Investimento","Investment")</f>
        <v>Investment</v>
      </c>
      <c r="D32" s="56">
        <v>61.247920000000001</v>
      </c>
      <c r="E32" s="56">
        <v>0</v>
      </c>
      <c r="F32" s="56">
        <v>429.78303000000005</v>
      </c>
      <c r="G32" s="56">
        <v>491.03095000000008</v>
      </c>
      <c r="H32" s="56">
        <v>-68.094034430292865</v>
      </c>
    </row>
    <row r="33" spans="3:8">
      <c r="C33" s="68" t="str">
        <f>+IF(Índice!$D$2=1,"Transferências capital","Capital transfers")</f>
        <v>Capital transfers</v>
      </c>
      <c r="D33" s="56">
        <v>579.95490000000007</v>
      </c>
      <c r="E33" s="56">
        <v>0</v>
      </c>
      <c r="F33" s="56">
        <v>0</v>
      </c>
      <c r="G33" s="56">
        <v>297.80700000000002</v>
      </c>
      <c r="H33" s="56">
        <v>1039.8582368131879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297.80700000000002</v>
      </c>
      <c r="E34" s="56">
        <v>0</v>
      </c>
      <c r="F34" s="56">
        <v>0</v>
      </c>
      <c r="G34" s="56">
        <v>297.80700000000002</v>
      </c>
      <c r="H34" s="56">
        <v>1039.8582368131877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282.14790000000005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57311.590519999918</v>
      </c>
      <c r="E38" s="86">
        <v>22901.70016</v>
      </c>
      <c r="F38" s="86">
        <v>14251.214279999998</v>
      </c>
      <c r="G38" s="86">
        <v>73111.051109999928</v>
      </c>
      <c r="H38" s="86">
        <v>-11.284789491799273</v>
      </c>
    </row>
    <row r="39" spans="3:8" ht="17.25" customHeight="1">
      <c r="C39" s="138" t="str">
        <f>+IF(Índice!$D$2=1,"Saldo global","Overall balance")</f>
        <v>Overall balance</v>
      </c>
      <c r="D39" s="139">
        <v>73025.983330000076</v>
      </c>
      <c r="E39" s="139">
        <v>11518.340229999987</v>
      </c>
      <c r="F39" s="139">
        <v>8334.0977100000073</v>
      </c>
      <c r="G39" s="139">
        <v>92878.421270000064</v>
      </c>
      <c r="H39" s="139">
        <v>104.50385786021252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43238.759960000076</v>
      </c>
      <c r="E41" s="19">
        <v>11021.441469999991</v>
      </c>
      <c r="F41" s="19">
        <v>6981.366860000011</v>
      </c>
      <c r="G41" s="19">
        <v>61241.568290000083</v>
      </c>
      <c r="H41" s="19">
        <v>108.45837458553622</v>
      </c>
    </row>
    <row r="42" spans="3:8">
      <c r="C42" s="68" t="str">
        <f>+IF(Índice!$D$2=1,"Despesa corrente primária","Primary current expenditure")</f>
        <v>Primary current expenditure</v>
      </c>
      <c r="D42" s="19">
        <v>37811.04764999992</v>
      </c>
      <c r="E42" s="19">
        <v>22901.52694</v>
      </c>
      <c r="F42" s="19">
        <v>13803.113909999996</v>
      </c>
      <c r="G42" s="19">
        <v>53444.382549999937</v>
      </c>
      <c r="H42" s="19">
        <v>-14.719803071110016</v>
      </c>
    </row>
    <row r="43" spans="3:8">
      <c r="C43" s="68" t="str">
        <f>+IF(Índice!$D$2=1,"Saldo corrente primário","Primary current balance")</f>
        <v>Primary current balance</v>
      </c>
      <c r="D43" s="19">
        <v>62098.100010000067</v>
      </c>
      <c r="E43" s="19">
        <v>11021.614689999991</v>
      </c>
      <c r="F43" s="19">
        <v>6999.6842000000106</v>
      </c>
      <c r="G43" s="19">
        <v>80119.398900000073</v>
      </c>
      <c r="H43" s="19">
        <v>68.477362775473296</v>
      </c>
    </row>
    <row r="44" spans="3:8">
      <c r="C44" s="68" t="str">
        <f>+IF(Índice!$D$2=1,"Saldo de capital","Capital balance")</f>
        <v>Capital balance</v>
      </c>
      <c r="D44" s="19">
        <v>29787.22337</v>
      </c>
      <c r="E44" s="19">
        <v>496.89875999999998</v>
      </c>
      <c r="F44" s="19">
        <v>1352.7308499999999</v>
      </c>
      <c r="G44" s="19">
        <v>31636.852979999996</v>
      </c>
      <c r="H44" s="19">
        <v>97.260061043583931</v>
      </c>
    </row>
    <row r="45" spans="3:8">
      <c r="C45" s="68" t="str">
        <f t="array" ref="C45">+IF(Índice!$D$2=1,"Despesa primária","Primary expenditure")</f>
        <v>Primary expenditure</v>
      </c>
      <c r="D45" s="19">
        <v>38452.250469999926</v>
      </c>
      <c r="E45" s="19">
        <v>22901.52694</v>
      </c>
      <c r="F45" s="19">
        <v>14232.896939999999</v>
      </c>
      <c r="G45" s="19">
        <v>54233.220499999938</v>
      </c>
      <c r="H45" s="19">
        <v>-15.569661094718967</v>
      </c>
    </row>
    <row r="46" spans="3:8">
      <c r="C46" s="221" t="str">
        <f>+IF(Índice!$D$2=1,"Saldo primário","Primary balance")</f>
        <v>Primary balance</v>
      </c>
      <c r="D46" s="132">
        <v>91885.32338000006</v>
      </c>
      <c r="E46" s="132">
        <v>11518.513449999988</v>
      </c>
      <c r="F46" s="132">
        <v>8352.4150500000069</v>
      </c>
      <c r="G46" s="132">
        <v>111756.25188000005</v>
      </c>
      <c r="H46" s="132">
        <v>75.736338844457634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296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296"/>
      <c r="E48" s="296"/>
      <c r="F48" s="296"/>
      <c r="G48" s="296"/>
    </row>
    <row r="49" spans="3:7" ht="9" customHeight="1">
      <c r="C49" s="296"/>
      <c r="D49" s="296"/>
      <c r="E49" s="296"/>
      <c r="F49" s="296"/>
      <c r="G49" s="296"/>
    </row>
    <row r="50" spans="3:7" ht="9" customHeight="1">
      <c r="C50" s="296"/>
      <c r="D50" s="296"/>
      <c r="E50" s="296"/>
      <c r="F50" s="296"/>
      <c r="G50" s="296"/>
    </row>
    <row r="51" spans="3:7" ht="9" customHeight="1">
      <c r="C51" s="296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296"/>
      <c r="E51" s="296"/>
      <c r="F51" s="296"/>
      <c r="G51" s="296"/>
    </row>
    <row r="52" spans="3:7" ht="9" customHeight="1">
      <c r="C52" s="296"/>
      <c r="D52" s="296"/>
      <c r="E52" s="296"/>
      <c r="F52" s="296"/>
      <c r="G52" s="296"/>
    </row>
    <row r="53" spans="3:7" ht="9" customHeight="1">
      <c r="C53" s="296"/>
      <c r="D53" s="296"/>
      <c r="E53" s="296"/>
      <c r="F53" s="296"/>
      <c r="G53" s="296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D4" sqref="D4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(janeiro)","TABLE II - Regional Gov. budget execution (january)")</f>
        <v>TABLE II - Regional Gov. budget execution (january)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90727.109850000008</v>
      </c>
      <c r="E5" s="225">
        <v>99909.147659999988</v>
      </c>
      <c r="F5" s="225">
        <v>10.120500724844783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44013.068099999997</v>
      </c>
      <c r="E6" s="231">
        <v>49431.285279999996</v>
      </c>
      <c r="F6" s="231">
        <v>12.310473715873481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0</v>
      </c>
      <c r="E7" s="231">
        <v>0</v>
      </c>
      <c r="F7" s="231">
        <v>0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44013.068099999997</v>
      </c>
      <c r="E8" s="231">
        <v>49431.285279999996</v>
      </c>
      <c r="F8" s="231">
        <v>12.310473715873481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46714.041750000004</v>
      </c>
      <c r="E9" s="231">
        <v>50477.862379999991</v>
      </c>
      <c r="F9" s="231">
        <v>8.0571504605464472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12785.518309999999</v>
      </c>
      <c r="E10" s="232">
        <v>30428.426189999998</v>
      </c>
      <c r="F10" s="232">
        <v>137.99133873361137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103512.62816000001</v>
      </c>
      <c r="E12" s="232">
        <v>130337.57384999999</v>
      </c>
      <c r="F12" s="232">
        <v>25.914660043735459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60369.866509999927</v>
      </c>
      <c r="E14" s="232">
        <v>56670.387699999956</v>
      </c>
      <c r="F14" s="232">
        <v>-6.1280221803822865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25730.247809999928</v>
      </c>
      <c r="E15" s="231">
        <v>27512.740669999959</v>
      </c>
      <c r="F15" s="231">
        <v>6.9276163726152529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2343.4945700000003</v>
      </c>
      <c r="E16" s="231">
        <v>2298.4925499999995</v>
      </c>
      <c r="F16" s="231">
        <v>-1.9202954671237338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18125.725079999997</v>
      </c>
      <c r="E17" s="231">
        <v>18859.340049999995</v>
      </c>
      <c r="F17" s="231">
        <v>4.0473689563430115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12358.700030000002</v>
      </c>
      <c r="E18" s="231">
        <v>7965.3299699999989</v>
      </c>
      <c r="F18" s="231">
        <v>-35.548804075957506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9082.6258000000016</v>
      </c>
      <c r="E19" s="231">
        <v>4555.0929499999993</v>
      </c>
      <c r="F19" s="231">
        <v>-49.84828120960352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3276.0742300000002</v>
      </c>
      <c r="E20" s="231">
        <v>3410.23702</v>
      </c>
      <c r="F20" s="231">
        <v>4.095230467351163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1793.92</v>
      </c>
      <c r="E21" s="231">
        <v>0</v>
      </c>
      <c r="F21" s="231">
        <v>-100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17.779019999999999</v>
      </c>
      <c r="E22" s="231">
        <v>34.484459999999999</v>
      </c>
      <c r="F22" s="231">
        <v>93.961534437781168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1750.5374999999999</v>
      </c>
      <c r="E23" s="232">
        <v>641.20282000000009</v>
      </c>
      <c r="F23" s="232">
        <v>-63.371089165470607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1344.13383</v>
      </c>
      <c r="E24" s="231">
        <v>61.247920000000001</v>
      </c>
      <c r="F24" s="231">
        <v>-95.443316831033115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406.40366999999998</v>
      </c>
      <c r="E25" s="231">
        <v>579.95490000000007</v>
      </c>
      <c r="F25" s="231">
        <v>42.704149300620273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406.40366999999998</v>
      </c>
      <c r="E26" s="231">
        <v>579.95490000000007</v>
      </c>
      <c r="F26" s="231">
        <v>42.704149300620273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0</v>
      </c>
      <c r="E27" s="231">
        <v>0</v>
      </c>
      <c r="F27" s="231">
        <v>0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62120.404009999926</v>
      </c>
      <c r="E29" s="235">
        <v>57311.590519999954</v>
      </c>
      <c r="F29" s="235">
        <v>-7.7411175388136026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41392.224150000082</v>
      </c>
      <c r="E31" s="139">
        <v>73025.983330000032</v>
      </c>
      <c r="F31" s="139">
        <v>76.424400547705005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30357.243340000081</v>
      </c>
      <c r="E33" s="19">
        <v>43238.759960000032</v>
      </c>
      <c r="F33" s="19">
        <v>42.433090764294398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11034.980809999999</v>
      </c>
      <c r="E34" s="19">
        <v>29787.22337</v>
      </c>
      <c r="F34" s="19">
        <v>169.93452805107324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59517.949230000078</v>
      </c>
      <c r="E35" s="19">
        <v>91885.323380000031</v>
      </c>
      <c r="F35" s="19">
        <v>54.382542692995116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25</v>
      </c>
      <c r="E36" s="106">
        <v>0</v>
      </c>
      <c r="F36" s="106">
        <v>-100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297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297"/>
      <c r="E38" s="297"/>
      <c r="F38" s="297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D3" sqref="D3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III - Execução orçamental da receita fiscal do Gov. Reg. (janeiro)","TABLE III - Regional Gov. tax revenue budget execution (january)")</f>
        <v>TABLE III - Regional Gov. tax revenue budget execution (january)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+IF(Índice!$D$2=1,"VH (%)","yoy change (%)")</f>
        <v>yoy change (%)</v>
      </c>
      <c r="G3" s="240" t="str">
        <f>+IF(Índice!$D$2=1,"Grau de Execução (%)","Execution level (%)")</f>
        <v>Execution level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44013.068099999997</v>
      </c>
      <c r="E5" s="33">
        <v>49431.285279999996</v>
      </c>
      <c r="F5" s="270">
        <v>0.12310473715873482</v>
      </c>
      <c r="G5" s="270">
        <v>4.6100711444650104E-2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0</v>
      </c>
      <c r="E7" s="70">
        <v>0</v>
      </c>
      <c r="F7" s="271">
        <v>0</v>
      </c>
      <c r="G7" s="271">
        <v>0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0</v>
      </c>
      <c r="E8" s="70">
        <v>0</v>
      </c>
      <c r="F8" s="271">
        <v>0</v>
      </c>
      <c r="G8" s="271">
        <v>0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0</v>
      </c>
      <c r="E9" s="70">
        <v>0</v>
      </c>
      <c r="F9" s="271">
        <v>0</v>
      </c>
      <c r="G9" s="271">
        <v>0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44013.068099999997</v>
      </c>
      <c r="E11" s="70">
        <v>49431.285279999996</v>
      </c>
      <c r="F11" s="271">
        <v>0.12310473715873482</v>
      </c>
      <c r="G11" s="271">
        <v>7.1306514661382867E-2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0</v>
      </c>
      <c r="E12" s="70">
        <v>0</v>
      </c>
      <c r="F12" s="271">
        <v>0</v>
      </c>
      <c r="G12" s="271">
        <v>0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42734.945239999994</v>
      </c>
      <c r="E13" s="70">
        <v>47807.31609</v>
      </c>
      <c r="F13" s="271">
        <v>0.11869374867601934</v>
      </c>
      <c r="G13" s="271">
        <v>9.0618054680828675E-2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0</v>
      </c>
      <c r="E14" s="70">
        <v>0</v>
      </c>
      <c r="F14" s="271">
        <v>0</v>
      </c>
      <c r="G14" s="271">
        <v>0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0</v>
      </c>
      <c r="E15" s="70">
        <v>0</v>
      </c>
      <c r="F15" s="271">
        <v>0</v>
      </c>
      <c r="G15" s="271">
        <v>0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108.09008</v>
      </c>
      <c r="E16" s="70">
        <v>186.51188999999999</v>
      </c>
      <c r="F16" s="271">
        <v>0.7255227306705665</v>
      </c>
      <c r="G16" s="271">
        <v>1.6894192934782608E-2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1170.03278</v>
      </c>
      <c r="E17" s="70">
        <v>1437.4573</v>
      </c>
      <c r="F17" s="271">
        <v>0.22856156218118961</v>
      </c>
      <c r="G17" s="271">
        <v>2.3763500797121757E-2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0.75</v>
      </c>
      <c r="E18" s="70">
        <v>0</v>
      </c>
      <c r="F18" s="271">
        <v>-1</v>
      </c>
      <c r="G18" s="271">
        <v>0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0</v>
      </c>
      <c r="E19" s="70">
        <v>0</v>
      </c>
      <c r="F19" s="271">
        <v>0</v>
      </c>
      <c r="G19" s="271">
        <v>0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59499.560060000003</v>
      </c>
      <c r="E21" s="33">
        <v>80906.28856999999</v>
      </c>
      <c r="F21" s="270">
        <v>0.35977960994019464</v>
      </c>
      <c r="G21" s="270">
        <v>0.15165683559069604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103512.62815999999</v>
      </c>
      <c r="E23" s="139">
        <v>130337.57384999999</v>
      </c>
      <c r="F23" s="274">
        <v>0.25914660043735482</v>
      </c>
      <c r="G23" s="274">
        <v>8.1170381363217983E-2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D3" sqref="D3:G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IV - Execução orçamental da receita não fiscal do GoIV. Reg. (janeiro)","TABLE IV - Regional GoIV. non-tax reIVenue budget execution (january)")</f>
        <v>TABLE IV - Regional GoIV. non-tax reIVenue budget execution (january)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+IF(Índice!$D$2=1,"VH (%)","yoy change (%)")</f>
        <v>yoy change (%)</v>
      </c>
      <c r="G3" s="226" t="str">
        <f>+IF(Índice!$D$2=1,"Grau de Execução (%)","Execution level (%)")</f>
        <v>Execution level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44013.068099999997</v>
      </c>
      <c r="E5" s="41">
        <v>49431.285279999996</v>
      </c>
      <c r="F5" s="276">
        <v>0.12310473715873482</v>
      </c>
      <c r="G5" s="42">
        <v>4.6100711444650104E-2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59499.560060000003</v>
      </c>
      <c r="E7" s="41">
        <v>80906.28856999999</v>
      </c>
      <c r="F7" s="276">
        <v>0.35977960994019464</v>
      </c>
      <c r="G7" s="42">
        <v>0.15165683559069604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46714.041750000004</v>
      </c>
      <c r="E8" s="41">
        <v>50477.862379999991</v>
      </c>
      <c r="F8" s="276">
        <v>8.0571504605464472E-2</v>
      </c>
      <c r="G8" s="42">
        <v>0.18614988005510144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859.35612999999978</v>
      </c>
      <c r="E10" s="71">
        <v>688.61459999999988</v>
      </c>
      <c r="F10" s="278">
        <v>-0.19868541578914434</v>
      </c>
      <c r="G10" s="43">
        <v>2.851332418933257E-2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3.6900200000000001</v>
      </c>
      <c r="E11" s="71">
        <v>3.2960100000000003</v>
      </c>
      <c r="F11" s="278">
        <v>-0.1067771990395715</v>
      </c>
      <c r="G11" s="43">
        <v>3.8055538749796219E-4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45344.554749999996</v>
      </c>
      <c r="E12" s="71">
        <v>49222.510999999999</v>
      </c>
      <c r="F12" s="278">
        <v>8.5521983210123054E-2</v>
      </c>
      <c r="G12" s="43">
        <v>0.25178942196875548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483.74541000000005</v>
      </c>
      <c r="E13" s="47">
        <v>541.14729999999997</v>
      </c>
      <c r="F13" s="278">
        <v>0.11866136362926927</v>
      </c>
      <c r="G13" s="43">
        <v>5.419081932942043E-2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22.695439999999998</v>
      </c>
      <c r="E14" s="71">
        <v>22.293470000000003</v>
      </c>
      <c r="F14" s="278">
        <v>-1.7711487417736538E-2</v>
      </c>
      <c r="G14" s="43">
        <v>6.7803699760001933E-4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12785.518309999999</v>
      </c>
      <c r="E17" s="41">
        <v>30428.426189999998</v>
      </c>
      <c r="F17" s="276">
        <v>1.3799133873361136</v>
      </c>
      <c r="G17" s="42">
        <v>0.11599965943971234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0</v>
      </c>
      <c r="E18" s="71">
        <v>306.94</v>
      </c>
      <c r="F18" s="278">
        <v>0</v>
      </c>
      <c r="G18" s="43">
        <v>1.1306621283994412E-2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12466.979799999999</v>
      </c>
      <c r="E19" s="44">
        <v>30029.0789</v>
      </c>
      <c r="F19" s="278">
        <v>1.4086891437812392</v>
      </c>
      <c r="G19" s="43">
        <v>0.13271770567811514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0</v>
      </c>
      <c r="E20" s="71">
        <v>0</v>
      </c>
      <c r="F20" s="278">
        <v>0</v>
      </c>
      <c r="G20" s="43"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318.53851000000003</v>
      </c>
      <c r="E21" s="47">
        <v>92.407289999999989</v>
      </c>
      <c r="F21" s="278">
        <v>-0.70990229721360854</v>
      </c>
      <c r="G21" s="43">
        <v>1.0379342918117488E-2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103512.62815999999</v>
      </c>
      <c r="E23" s="287">
        <v>130337.57384999999</v>
      </c>
      <c r="F23" s="288">
        <v>0.25914660043735482</v>
      </c>
      <c r="G23" s="288">
        <v>8.1170381363217983E-2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D3" sqref="D3:G4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 - Execução orçamental das despesas do Governo Regional (janeiro)","TABLE V - Regional Gov. expenditure budget execution (january)")</f>
        <v>TABLE V - Regional Gov. expenditure budget execution (january)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299">
        <v>2023</v>
      </c>
      <c r="E3" s="301">
        <v>2024</v>
      </c>
      <c r="F3" s="153">
        <v>2023</v>
      </c>
      <c r="G3" s="153">
        <v>2024</v>
      </c>
      <c r="H3" s="302" t="str">
        <f>+IF(Índice!$D$2=1,"VH (%)","yoy change (%)")</f>
        <v>yoy change (%)</v>
      </c>
    </row>
    <row r="4" spans="1:15" ht="12" customHeight="1">
      <c r="C4" s="132"/>
      <c r="D4" s="300"/>
      <c r="E4" s="300"/>
      <c r="F4" s="298" t="str">
        <f>+IF(Índice!$D$2=1,"Grau de Execução (%)","Execution level (%)")</f>
        <v>Execution level (%)</v>
      </c>
      <c r="G4" s="298" t="str">
        <f>+IF(Índice!$D$2="PT","Grau de Execução (%)","Execution Level (%)")</f>
        <v>Execution Level (%)</v>
      </c>
      <c r="H4" s="303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60369.866509999927</v>
      </c>
      <c r="E5" s="253">
        <v>56670.387699999956</v>
      </c>
      <c r="F5" s="253">
        <v>4.3108277263826631</v>
      </c>
      <c r="G5" s="253">
        <v>3.8820611038430042</v>
      </c>
      <c r="H5" s="253">
        <v>-6.128022180382283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25730.247809999928</v>
      </c>
      <c r="E6" s="74">
        <v>27512.740669999959</v>
      </c>
      <c r="F6" s="74">
        <v>5.8378463447945297</v>
      </c>
      <c r="G6" s="74">
        <v>6.0267906787851846</v>
      </c>
      <c r="H6" s="254">
        <v>6.9276163726152475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25231.867679999923</v>
      </c>
      <c r="E7" s="75">
        <v>26984.612899999956</v>
      </c>
      <c r="F7" s="75">
        <v>7.1643922228535644</v>
      </c>
      <c r="G7" s="75">
        <v>7.4285196376029452</v>
      </c>
      <c r="H7" s="254">
        <v>6.9465536290416967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227.39899000000003</v>
      </c>
      <c r="E8" s="75">
        <v>238.37769000000003</v>
      </c>
      <c r="F8" s="75">
        <v>3.60274662328142</v>
      </c>
      <c r="G8" s="75">
        <v>3.1239729174426007</v>
      </c>
      <c r="H8" s="254">
        <v>4.8279458057399474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270.9811400000001</v>
      </c>
      <c r="E9" s="75">
        <v>289.75007999999997</v>
      </c>
      <c r="F9" s="75">
        <v>0.32944910925653892</v>
      </c>
      <c r="G9" s="75">
        <v>0.33841484544636236</v>
      </c>
      <c r="H9" s="254">
        <v>6.9262901469821347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2343.4945700000003</v>
      </c>
      <c r="E10" s="75">
        <v>2298.4925499999995</v>
      </c>
      <c r="F10" s="75">
        <v>1.1907382079285953</v>
      </c>
      <c r="G10" s="75">
        <v>1.1184960339710119</v>
      </c>
      <c r="H10" s="254">
        <v>-1.9202954671237324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18125.725079999997</v>
      </c>
      <c r="E11" s="75">
        <v>18859.340049999995</v>
      </c>
      <c r="F11" s="75">
        <v>11.924799910684353</v>
      </c>
      <c r="G11" s="75">
        <v>14.013397789788403</v>
      </c>
      <c r="H11" s="254">
        <v>4.047368956343008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12358.700030000002</v>
      </c>
      <c r="E12" s="74">
        <v>7965.3299699999989</v>
      </c>
      <c r="F12" s="74">
        <v>2.134585297853504</v>
      </c>
      <c r="G12" s="74">
        <v>1.2775909531009018</v>
      </c>
      <c r="H12" s="254">
        <v>-35.548804075957513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9082.6258000000016</v>
      </c>
      <c r="E13" s="74">
        <v>4555.0929499999993</v>
      </c>
      <c r="F13" s="74">
        <v>1.9987103243065869</v>
      </c>
      <c r="G13" s="74">
        <v>0.87411914168118443</v>
      </c>
      <c r="H13" s="254">
        <v>-49.84828120960352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9082.6258000000016</v>
      </c>
      <c r="E15" s="75">
        <v>4555.0929499999993</v>
      </c>
      <c r="F15" s="75">
        <v>1.9998647883336538</v>
      </c>
      <c r="G15" s="75">
        <v>0.8749041680166022</v>
      </c>
      <c r="H15" s="254">
        <v>-49.84828120960352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71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71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3276.0742300000002</v>
      </c>
      <c r="E18" s="75">
        <v>3410.23702</v>
      </c>
      <c r="F18" s="72">
        <v>2.6303292426377824</v>
      </c>
      <c r="G18" s="72">
        <v>3.3316708897463569</v>
      </c>
      <c r="H18" s="77">
        <v>4.0952304673511586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1793.92</v>
      </c>
      <c r="E19" s="72">
        <v>0</v>
      </c>
      <c r="F19" s="72">
        <v>7.2783451339881786</v>
      </c>
      <c r="G19" s="72">
        <v>0</v>
      </c>
      <c r="H19" s="77">
        <v>-100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17.779019999999999</v>
      </c>
      <c r="E20" s="72">
        <v>34.484459999999999</v>
      </c>
      <c r="F20" s="72">
        <v>0.24546770941427459</v>
      </c>
      <c r="G20" s="72">
        <v>0.85381096326785066</v>
      </c>
      <c r="H20" s="77">
        <v>93.961534437781154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42244.141429999931</v>
      </c>
      <c r="E22" s="78">
        <v>37811.047649999964</v>
      </c>
      <c r="F22" s="78">
        <v>3.3837982433793163</v>
      </c>
      <c r="G22" s="78">
        <v>2.8531886043698664</v>
      </c>
      <c r="H22" s="76">
        <v>-10.493984798686851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1750.5374999999999</v>
      </c>
      <c r="E24" s="78">
        <v>641.20282000000009</v>
      </c>
      <c r="F24" s="78">
        <v>0.57243358415807766</v>
      </c>
      <c r="G24" s="78">
        <v>0.23160739684743337</v>
      </c>
      <c r="H24" s="76">
        <v>-63.371089165470607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1344.13383</v>
      </c>
      <c r="E25" s="72">
        <v>61.247920000000001</v>
      </c>
      <c r="F25" s="72">
        <v>0.64477626009008548</v>
      </c>
      <c r="G25" s="72">
        <v>3.3467763927129426E-2</v>
      </c>
      <c r="H25" s="77">
        <v>-95.443316831033115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406.40366999999998</v>
      </c>
      <c r="E26" s="59">
        <v>579.95490000000007</v>
      </c>
      <c r="F26" s="59">
        <v>0.42626298989069389</v>
      </c>
      <c r="G26" s="59">
        <v>0.61800344386822159</v>
      </c>
      <c r="H26" s="77">
        <v>42.704149300620273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406.40366999999998</v>
      </c>
      <c r="E27" s="59">
        <v>579.95490000000007</v>
      </c>
      <c r="F27" s="59">
        <v>0.45708939416980765</v>
      </c>
      <c r="G27" s="59">
        <v>0.79086887247147752</v>
      </c>
      <c r="H27" s="77">
        <v>42.704149300620273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26.126669999999997</v>
      </c>
      <c r="E28" s="72">
        <v>297.80700000000002</v>
      </c>
      <c r="F28" s="72">
        <v>0.47339714349131856</v>
      </c>
      <c r="G28" s="72">
        <v>3.3622895908761032</v>
      </c>
      <c r="H28" s="77">
        <v>1039.8582368131877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380.27699999999999</v>
      </c>
      <c r="E29" s="72">
        <v>282.14790000000005</v>
      </c>
      <c r="F29" s="72">
        <v>0.48884206736422298</v>
      </c>
      <c r="G29" s="72">
        <v>0.47618895723512872</v>
      </c>
      <c r="H29" s="77">
        <v>-25.804637146080339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0</v>
      </c>
      <c r="E30" s="72">
        <v>0</v>
      </c>
      <c r="F30" s="72">
        <v>0</v>
      </c>
      <c r="G30" s="72">
        <v>0</v>
      </c>
      <c r="H30" s="77" t="s">
        <v>71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62120.404009999926</v>
      </c>
      <c r="E33" s="142">
        <v>57311.590519999954</v>
      </c>
      <c r="F33" s="143">
        <v>3.6407984663598363</v>
      </c>
      <c r="G33" s="143">
        <v>3.3001221858354906</v>
      </c>
      <c r="H33" s="141">
        <v>-7.7411175388136009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25</v>
      </c>
      <c r="E36" s="150">
        <v>0</v>
      </c>
      <c r="F36" s="150">
        <v>2.5420660065944855E-2</v>
      </c>
      <c r="G36" s="150">
        <v>0</v>
      </c>
      <c r="H36" s="128">
        <v>-100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42791.353379999993</v>
      </c>
      <c r="E37" s="150">
        <v>48153.853379999993</v>
      </c>
      <c r="F37" s="150">
        <v>16.252991626669612</v>
      </c>
      <c r="G37" s="150">
        <v>18.777557030130289</v>
      </c>
      <c r="H37" s="128">
        <v>12.53173731706824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D5" sqref="D5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 - Despesa do Governo Regional, por classificação funcional (janeiro)","TABLE VI - Regional Gov. expenditure by functional classification (january)")</f>
        <v>TABLE VI - Regional Gov. expenditure by functional classification (january)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01">
        <v>2023</v>
      </c>
      <c r="E3" s="304">
        <v>2024</v>
      </c>
      <c r="F3" s="305" t="str">
        <f>+IF(Índice!$D$2=1,"Peso na estrutura
 em 2023","Weight in 2023 structure")</f>
        <v>Weight in 2023 structure</v>
      </c>
      <c r="M3" s="7"/>
      <c r="N3" s="7"/>
      <c r="P3" s="9"/>
      <c r="Q3" s="9"/>
    </row>
    <row r="4" spans="2:17" ht="13.5" customHeight="1">
      <c r="C4" s="134"/>
      <c r="D4" s="300"/>
      <c r="E4" s="300"/>
      <c r="F4" s="300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24161.67787</v>
      </c>
      <c r="E5" s="34">
        <v>24329.706430000006</v>
      </c>
      <c r="F5" s="34">
        <v>42.451633621142783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703.29418999999973</v>
      </c>
      <c r="E7" s="34">
        <v>533.74657000000002</v>
      </c>
      <c r="F7" s="34">
        <v>0.93130650389773884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3869.9508300000007</v>
      </c>
      <c r="E8" s="34">
        <v>3916.28125</v>
      </c>
      <c r="F8" s="34">
        <v>6.8333145433005145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1079.6873500000006</v>
      </c>
      <c r="E9" s="34">
        <v>1030.33762</v>
      </c>
      <c r="F9" s="34">
        <v>1.7977822821728238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3037.6664299999998</v>
      </c>
      <c r="E10" s="34">
        <v>593.5101199999998</v>
      </c>
      <c r="F10" s="34">
        <v>1.0355847998894443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5063.0453000000007</v>
      </c>
      <c r="E11" s="34">
        <v>790.35888999999997</v>
      </c>
      <c r="F11" s="34">
        <v>1.3790559341119466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868.73250000000019</v>
      </c>
      <c r="E12" s="34">
        <v>927.66737999999953</v>
      </c>
      <c r="F12" s="34">
        <v>1.6186383445007895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22852.10682999995</v>
      </c>
      <c r="E13" s="34">
        <v>24679.498320000013</v>
      </c>
      <c r="F13" s="34">
        <v>43.061967214795082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484.24271000000005</v>
      </c>
      <c r="E14" s="34">
        <v>510.48393999999996</v>
      </c>
      <c r="F14" s="34">
        <v>0.8907167561888838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62120.404009999947</v>
      </c>
      <c r="E17" s="145">
        <v>57311.590520000012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25</v>
      </c>
      <c r="E20" s="152">
        <v>0</v>
      </c>
      <c r="F20" s="152">
        <v>0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42791.353379999993</v>
      </c>
      <c r="E21" s="283">
        <v>48153.853379999993</v>
      </c>
      <c r="F21" s="283">
        <v>84.021142919067572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topLeftCell="A17" zoomScale="120" zoomScaleNormal="120" zoomScalePageLayoutView="115" workbookViewId="0">
      <selection activeCell="C2" sqref="C1:C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 - Execução orçamental por classificação cruzada orgânica e económica (janeiro)","TABLE VII - Budget execution by organic and economic cross-classification (january)")</f>
        <v>TABLE VII - Budget execution by organic and economic cross-classification (january)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5</v>
      </c>
    </row>
    <row r="4" spans="2:18" ht="27" customHeight="1">
      <c r="C4" s="253" t="str">
        <f>+IF(Índice!$D$2=1,"Despesa corrente","Current expenditure")</f>
        <v>Current expenditure</v>
      </c>
      <c r="D4" s="194">
        <v>750</v>
      </c>
      <c r="E4" s="194">
        <v>147.84320000000002</v>
      </c>
      <c r="F4" s="194">
        <v>25609.245950000004</v>
      </c>
      <c r="G4" s="194">
        <v>755.5874399999999</v>
      </c>
      <c r="H4" s="194">
        <v>23582.156230000001</v>
      </c>
      <c r="I4" s="194">
        <v>807.07346000000007</v>
      </c>
      <c r="J4" s="194">
        <v>777.42831999999953</v>
      </c>
      <c r="K4" s="194">
        <v>660.84438</v>
      </c>
      <c r="L4" s="194">
        <v>965.99207000000013</v>
      </c>
      <c r="M4" s="194">
        <v>310.97068999999999</v>
      </c>
      <c r="N4" s="194">
        <v>1281.7041500000003</v>
      </c>
      <c r="O4" s="194">
        <v>1021.5418099999998</v>
      </c>
      <c r="P4" s="194">
        <v>56670.387700000007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113.19435000000001</v>
      </c>
      <c r="F5" s="196">
        <v>20890.836570000007</v>
      </c>
      <c r="G5" s="196">
        <v>428.60823999999985</v>
      </c>
      <c r="H5" s="196">
        <v>1865.4204300000001</v>
      </c>
      <c r="I5" s="196">
        <v>341.05658</v>
      </c>
      <c r="J5" s="196">
        <v>773.85102999999958</v>
      </c>
      <c r="K5" s="196">
        <v>359.29410999999999</v>
      </c>
      <c r="L5" s="196">
        <v>364.32173000000012</v>
      </c>
      <c r="M5" s="196">
        <v>306.65011999999996</v>
      </c>
      <c r="N5" s="196">
        <v>1051.6517300000003</v>
      </c>
      <c r="O5" s="196">
        <v>1017.8557799999999</v>
      </c>
      <c r="P5" s="196">
        <v>27512.740670000007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106.04778000000002</v>
      </c>
      <c r="F6" s="198">
        <v>20554.837960000008</v>
      </c>
      <c r="G6" s="198">
        <v>423.43151999999986</v>
      </c>
      <c r="H6" s="198">
        <v>1770.2927</v>
      </c>
      <c r="I6" s="198">
        <v>331.80000999999999</v>
      </c>
      <c r="J6" s="198">
        <v>762.84653999999955</v>
      </c>
      <c r="K6" s="198">
        <v>344.12419</v>
      </c>
      <c r="L6" s="198">
        <v>358.3296400000001</v>
      </c>
      <c r="M6" s="198">
        <v>296.89254999999997</v>
      </c>
      <c r="N6" s="198">
        <v>1033.5305600000002</v>
      </c>
      <c r="O6" s="198">
        <v>1002.4794499999998</v>
      </c>
      <c r="P6" s="198">
        <v>26984.612900000004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1.39649</v>
      </c>
      <c r="F7" s="198">
        <v>131.01179999999999</v>
      </c>
      <c r="G7" s="198">
        <v>1.07572</v>
      </c>
      <c r="H7" s="198">
        <v>73.831640000000007</v>
      </c>
      <c r="I7" s="198">
        <v>0.7</v>
      </c>
      <c r="J7" s="198">
        <v>0</v>
      </c>
      <c r="K7" s="198">
        <v>13.97667</v>
      </c>
      <c r="L7" s="198">
        <v>0.16716</v>
      </c>
      <c r="M7" s="198">
        <v>8.3109200000000012</v>
      </c>
      <c r="N7" s="198">
        <v>3.3883800000000002</v>
      </c>
      <c r="O7" s="198">
        <v>4.51891</v>
      </c>
      <c r="P7" s="198">
        <v>238.37769000000003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5.7500799999999987</v>
      </c>
      <c r="F8" s="198">
        <v>204.98680999999993</v>
      </c>
      <c r="G8" s="198">
        <v>4.1009999999999991</v>
      </c>
      <c r="H8" s="198">
        <v>21.296090000000003</v>
      </c>
      <c r="I8" s="198">
        <v>8.5565699999999989</v>
      </c>
      <c r="J8" s="198">
        <v>11.004490000000001</v>
      </c>
      <c r="K8" s="198">
        <v>1.1932499999999999</v>
      </c>
      <c r="L8" s="198">
        <v>5.8249299999999993</v>
      </c>
      <c r="M8" s="198">
        <v>1.44665</v>
      </c>
      <c r="N8" s="198">
        <v>14.73279</v>
      </c>
      <c r="O8" s="198">
        <v>10.857420000000001</v>
      </c>
      <c r="P8" s="198">
        <v>289.75007999999991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34.648849999999996</v>
      </c>
      <c r="F9" s="196">
        <v>2.77393</v>
      </c>
      <c r="G9" s="196">
        <v>1.0762799999999999</v>
      </c>
      <c r="H9" s="196">
        <v>2253.9664999999995</v>
      </c>
      <c r="I9" s="196">
        <v>3.2151299999999994</v>
      </c>
      <c r="J9" s="196">
        <v>0</v>
      </c>
      <c r="K9" s="196">
        <v>2.7435899999999998</v>
      </c>
      <c r="L9" s="196">
        <v>0</v>
      </c>
      <c r="M9" s="196">
        <v>0</v>
      </c>
      <c r="N9" s="196">
        <v>0</v>
      </c>
      <c r="O9" s="196">
        <v>6.8269999999999997E-2</v>
      </c>
      <c r="P9" s="196">
        <v>2298.4925499999999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10.032969999999999</v>
      </c>
      <c r="F10" s="198">
        <v>0</v>
      </c>
      <c r="G10" s="198">
        <v>0</v>
      </c>
      <c r="H10" s="198">
        <v>0.80640000000000001</v>
      </c>
      <c r="I10" s="198">
        <v>0.59000000000000008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11.429369999999999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24.615880000000001</v>
      </c>
      <c r="F11" s="198">
        <v>2.77393</v>
      </c>
      <c r="G11" s="198">
        <v>1.0762799999999999</v>
      </c>
      <c r="H11" s="198">
        <v>2253.1600999999996</v>
      </c>
      <c r="I11" s="198">
        <v>2.6251299999999995</v>
      </c>
      <c r="J11" s="198">
        <v>0</v>
      </c>
      <c r="K11" s="198">
        <v>2.7435899999999998</v>
      </c>
      <c r="L11" s="198">
        <v>0</v>
      </c>
      <c r="M11" s="198">
        <v>0</v>
      </c>
      <c r="N11" s="198">
        <v>0</v>
      </c>
      <c r="O11" s="198">
        <v>6.8269999999999997E-2</v>
      </c>
      <c r="P11" s="198">
        <v>2287.0631799999996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0.51197000000000004</v>
      </c>
      <c r="G12" s="198">
        <v>7.4400000000000004E-3</v>
      </c>
      <c r="H12" s="198">
        <v>18858.820639999998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18859.340049999999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750</v>
      </c>
      <c r="E13" s="196">
        <v>0</v>
      </c>
      <c r="F13" s="196">
        <v>4711.8936099999992</v>
      </c>
      <c r="G13" s="196">
        <v>325.86555000000004</v>
      </c>
      <c r="H13" s="196">
        <v>577.34483000000012</v>
      </c>
      <c r="I13" s="196">
        <v>462.80175000000003</v>
      </c>
      <c r="J13" s="196">
        <v>3.5772900000000001</v>
      </c>
      <c r="K13" s="196">
        <v>298.80667999999997</v>
      </c>
      <c r="L13" s="196">
        <v>601.18329000000006</v>
      </c>
      <c r="M13" s="196">
        <v>1.20679</v>
      </c>
      <c r="N13" s="196">
        <v>230.05241999999998</v>
      </c>
      <c r="O13" s="196">
        <v>2.5977600000000001</v>
      </c>
      <c r="P13" s="196">
        <v>7965.3299699999989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750</v>
      </c>
      <c r="E14" s="200">
        <v>0</v>
      </c>
      <c r="F14" s="200">
        <v>1324.0995699999999</v>
      </c>
      <c r="G14" s="200">
        <v>324.46040000000005</v>
      </c>
      <c r="H14" s="200">
        <v>569.01379000000009</v>
      </c>
      <c r="I14" s="200">
        <v>462.09428000000003</v>
      </c>
      <c r="J14" s="200">
        <v>0</v>
      </c>
      <c r="K14" s="200">
        <v>297.38605999999999</v>
      </c>
      <c r="L14" s="200">
        <v>600.96929</v>
      </c>
      <c r="M14" s="200">
        <v>0</v>
      </c>
      <c r="N14" s="200">
        <v>227.06956</v>
      </c>
      <c r="O14" s="200">
        <v>0</v>
      </c>
      <c r="P14" s="200">
        <v>4555.0929499999993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750</v>
      </c>
      <c r="E16" s="198">
        <v>0</v>
      </c>
      <c r="F16" s="198">
        <v>1324.0995699999999</v>
      </c>
      <c r="G16" s="198">
        <v>324.46040000000005</v>
      </c>
      <c r="H16" s="198">
        <v>569.01379000000009</v>
      </c>
      <c r="I16" s="198">
        <v>462.09428000000003</v>
      </c>
      <c r="J16" s="198">
        <v>0</v>
      </c>
      <c r="K16" s="198">
        <v>297.38605999999999</v>
      </c>
      <c r="L16" s="198">
        <v>600.96929</v>
      </c>
      <c r="M16" s="198">
        <v>0</v>
      </c>
      <c r="N16" s="198">
        <v>227.06956</v>
      </c>
      <c r="O16" s="198">
        <v>0</v>
      </c>
      <c r="P16" s="198">
        <v>4555.0929499999993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0</v>
      </c>
      <c r="F19" s="200">
        <v>3387.7940399999998</v>
      </c>
      <c r="G19" s="200">
        <v>1.4051500000000001</v>
      </c>
      <c r="H19" s="200">
        <v>8.3310399999999998</v>
      </c>
      <c r="I19" s="200">
        <v>0.70747000000000004</v>
      </c>
      <c r="J19" s="200">
        <v>3.5772900000000001</v>
      </c>
      <c r="K19" s="200">
        <v>1.42062</v>
      </c>
      <c r="L19" s="200">
        <v>0.214</v>
      </c>
      <c r="M19" s="200">
        <v>1.20679</v>
      </c>
      <c r="N19" s="200">
        <v>2.9828600000000001</v>
      </c>
      <c r="O19" s="200">
        <v>2.5977600000000001</v>
      </c>
      <c r="P19" s="200">
        <v>3410.23702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970.74149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970.74149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0</v>
      </c>
      <c r="F22" s="198">
        <v>1832.5575799999999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1832.5575799999999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584.49496999999997</v>
      </c>
      <c r="G23" s="198">
        <v>1.4051500000000001</v>
      </c>
      <c r="H23" s="198">
        <v>8.3310399999999998</v>
      </c>
      <c r="I23" s="198">
        <v>0.70747000000000004</v>
      </c>
      <c r="J23" s="198">
        <v>3.5772900000000001</v>
      </c>
      <c r="K23" s="198">
        <v>1.42062</v>
      </c>
      <c r="L23" s="198">
        <v>0.214</v>
      </c>
      <c r="M23" s="198">
        <v>1.20679</v>
      </c>
      <c r="N23" s="198">
        <v>2.9828600000000001</v>
      </c>
      <c r="O23" s="198">
        <v>2.5977600000000001</v>
      </c>
      <c r="P23" s="198">
        <v>606.93794999999989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3.22987</v>
      </c>
      <c r="G26" s="198">
        <v>2.9929999999999998E-2</v>
      </c>
      <c r="H26" s="198">
        <v>26.603829999999999</v>
      </c>
      <c r="I26" s="198">
        <v>0</v>
      </c>
      <c r="J26" s="198">
        <v>0</v>
      </c>
      <c r="K26" s="198">
        <v>0</v>
      </c>
      <c r="L26" s="198">
        <v>0.48705000000000004</v>
      </c>
      <c r="M26" s="198">
        <v>3.1137800000000002</v>
      </c>
      <c r="N26" s="198">
        <v>0</v>
      </c>
      <c r="O26" s="198">
        <v>1.02</v>
      </c>
      <c r="P26" s="198">
        <v>34.484459999999999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0</v>
      </c>
      <c r="E27" s="32">
        <v>0</v>
      </c>
      <c r="F27" s="32">
        <v>0.6888200000000001</v>
      </c>
      <c r="G27" s="32">
        <v>140</v>
      </c>
      <c r="H27" s="32">
        <v>202.70699999999999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297.80700000000002</v>
      </c>
      <c r="O27" s="32">
        <v>0</v>
      </c>
      <c r="P27" s="32">
        <v>641.20281999999997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0</v>
      </c>
      <c r="F28" s="198">
        <v>0</v>
      </c>
      <c r="G28" s="198">
        <v>0</v>
      </c>
      <c r="H28" s="198">
        <v>61.247920000000001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61.247920000000001</v>
      </c>
    </row>
    <row r="29" spans="2:16" ht="15" customHeight="1">
      <c r="C29" s="104" t="str">
        <f>+IF(Índice!$D$2=1,"Transferências capital","Capital transfers")</f>
        <v>Capital transfers</v>
      </c>
      <c r="D29" s="196">
        <v>0</v>
      </c>
      <c r="E29" s="196">
        <v>0</v>
      </c>
      <c r="F29" s="196">
        <v>0.6888200000000001</v>
      </c>
      <c r="G29" s="196">
        <v>140</v>
      </c>
      <c r="H29" s="196">
        <v>141.45908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297.80700000000002</v>
      </c>
      <c r="O29" s="196">
        <v>0</v>
      </c>
      <c r="P29" s="196">
        <v>579.95489999999995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0</v>
      </c>
      <c r="E30" s="200">
        <v>0</v>
      </c>
      <c r="F30" s="200">
        <v>0.6888200000000001</v>
      </c>
      <c r="G30" s="200">
        <v>140</v>
      </c>
      <c r="H30" s="200">
        <v>141.45908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297.80700000000002</v>
      </c>
      <c r="O30" s="200">
        <v>0</v>
      </c>
      <c r="P30" s="200">
        <v>579.95489999999995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297.80700000000002</v>
      </c>
      <c r="O31" s="198">
        <v>0</v>
      </c>
      <c r="P31" s="198">
        <v>297.80700000000002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0</v>
      </c>
      <c r="E32" s="198">
        <v>0</v>
      </c>
      <c r="F32" s="198">
        <v>0.6888200000000001</v>
      </c>
      <c r="G32" s="198">
        <v>140</v>
      </c>
      <c r="H32" s="198">
        <v>141.45908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282.14789999999999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750</v>
      </c>
      <c r="E38" s="204">
        <v>147.84320000000002</v>
      </c>
      <c r="F38" s="204">
        <v>25609.934770000003</v>
      </c>
      <c r="G38" s="204">
        <v>895.5874399999999</v>
      </c>
      <c r="H38" s="204">
        <v>23784.863229999999</v>
      </c>
      <c r="I38" s="204">
        <v>807.07346000000007</v>
      </c>
      <c r="J38" s="204">
        <v>777.42831999999953</v>
      </c>
      <c r="K38" s="204">
        <v>660.84438</v>
      </c>
      <c r="L38" s="204">
        <v>965.99207000000013</v>
      </c>
      <c r="M38" s="204">
        <v>310.97068999999999</v>
      </c>
      <c r="N38" s="204">
        <v>1579.5111500000003</v>
      </c>
      <c r="O38" s="204">
        <v>1021.5418099999998</v>
      </c>
      <c r="P38" s="204">
        <v>57311.590520000005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0</v>
      </c>
      <c r="O40" s="208">
        <v>0</v>
      </c>
      <c r="P40" s="208">
        <v>0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48153.853379999993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48153.853379999993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8774.6557699999994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Note: Organic structure approved by Regional Legislative Decree nr. 18/2020/M of january 31st, in force under Article 19th of Regional Regulatory Decree nr. 9/2021/M of august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06" t="str">
        <f>+IF(Índice!$D$2=1,"Fonte: Secretaria Regional das Finanças","Source: Regional Finance Secretariat")</f>
        <v>Source: Regional Finance Secretariat</v>
      </c>
      <c r="D47" s="306" t="str">
        <f>+IF(Índice!$D$2="PT","Fonte: Vice-Presidência do Governo Regional","Source: Vice-Presidency of the Regional Government")</f>
        <v>Source: Vice-Presidency of the Regional Government</v>
      </c>
      <c r="E47" s="306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14</vt:i4>
      </vt:variant>
      <vt:variant>
        <vt:lpstr>Intervalos com Nome</vt:lpstr>
      </vt:variant>
      <vt:variant>
        <vt:i4>16</vt:i4>
      </vt:variant>
    </vt:vector>
  </HeadingPairs>
  <TitlesOfParts>
    <vt:vector size="30" baseType="lpstr">
      <vt:lpstr>CAPA ENG</vt:lpstr>
      <vt:lpstr>Índice</vt:lpstr>
      <vt:lpstr>Q1_Consolidado</vt:lpstr>
      <vt:lpstr>Q2_Global_Est</vt:lpstr>
      <vt:lpstr>Q3_ R_fiscal</vt:lpstr>
      <vt:lpstr>Q4_R_n_fiscal</vt:lpstr>
      <vt:lpstr>Q5_D_Est ECO</vt:lpstr>
      <vt:lpstr>Q6_D_Est_Func</vt:lpstr>
      <vt:lpstr>Q7_D_Est_Org</vt:lpstr>
      <vt:lpstr>Q8_Saldo_Global EPR</vt:lpstr>
      <vt:lpstr>Q9_SFA </vt:lpstr>
      <vt:lpstr>Q10_SFA acumulado</vt:lpstr>
      <vt:lpstr>Q_11_12_13_14_Compromissos</vt:lpstr>
      <vt:lpstr>Pagamentos_Atraso </vt:lpstr>
      <vt:lpstr>'CAPA ENG'!Área_de_Impressão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acumulado'!Área_de_Impressão</vt:lpstr>
      <vt:lpstr>Q2_Global_Est!Área_de_Impressão</vt:lpstr>
      <vt:lpstr>'Q3_ R_fiscal'!Área_de_Impressão</vt:lpstr>
      <vt:lpstr>Q4_R_n_fiscal!Área_de_Impressão</vt:lpstr>
      <vt:lpstr>'Q5_D_Est ECO'!Área_de_Impressão</vt:lpstr>
      <vt:lpstr>Q6_D_Est_Func!Área_de_Impressão</vt:lpstr>
      <vt:lpstr>Q7_D_Est_Org!Área_de_Impressão</vt:lpstr>
      <vt:lpstr>'Q8_Saldo_Global EPR'!Área_de_Impressão</vt:lpstr>
      <vt:lpstr>'Q9_SFA '!Área_de_Impressão</vt:lpstr>
      <vt:lpstr>'Q5_D_Est ECO'!Títulos_de_Impressão</vt:lpstr>
      <vt:lpstr>Q7_D_Est_Org!Títulos_de_Impressão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2024-02-28T16:46:00Z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