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Dezembro\"/>
    </mc:Choice>
  </mc:AlternateContent>
  <xr:revisionPtr revIDLastSave="0" documentId="13_ncr:1_{79AE8BE6-9476-4D63-B37D-18819E0A2023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Q8_D_Est_Org!$C$1:$M$45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Q8_D_Est_Org!$B$1:$AD$46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Q8_D_Est_Org!$B$1:$AD$46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Q8_D_Est_Org!$N:$AB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Q8_D_Est_Org!$B$1:$AD$46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Q8_D_Est_Org!$B$1:$AD$46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Q8_D_Est_Org!$N:$AB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Q8_D_Est_Org!$B$1:$AD$46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Q8_D_Est_Org!$N:$AB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Q8_D_Est_Org!$B$1:$AD$46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Q8_D_Est_Org!$N:$AB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Q8_D_Est_Org!$B$1:$AD$46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Q8_D_Est_Org!$N:$AB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Q8_D_Est_Org!$B$1:$AD$46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Q8_D_Est_Org!$N:$AB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Q8_D_Est_Org!$B$1:$AD$46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Q8_D_Est_Org!$D$1:$M$46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Q8_D_Est_Org!$N:$AB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Q8_D_Est_Org!$B$1:$AD$46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Q8_D_Est_Org!$N:$AB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Q8_D_Est_Org!$B$1:$AD$46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60" l="1"/>
  <c r="C2" i="9"/>
  <c r="C2" i="50"/>
  <c r="C2" i="10"/>
  <c r="C2" i="11"/>
  <c r="C2" i="12"/>
  <c r="C2" i="39"/>
  <c r="C2" i="13"/>
  <c r="C2" i="51"/>
  <c r="C2" i="61"/>
  <c r="D42" i="38"/>
  <c r="C41" i="38"/>
  <c r="D33" i="38"/>
  <c r="C32" i="38"/>
  <c r="D24" i="38"/>
  <c r="C23" i="38"/>
  <c r="D3" i="38"/>
  <c r="C2" i="38"/>
  <c r="C2" i="32"/>
  <c r="C2" i="8"/>
  <c r="L3" i="12"/>
  <c r="K3" i="12"/>
  <c r="J3" i="12" l="1"/>
  <c r="I3" i="12"/>
  <c r="H3" i="12"/>
  <c r="G3" i="12"/>
  <c r="A15" i="54" l="1"/>
  <c r="E2" i="53"/>
  <c r="D3" i="61" l="1"/>
  <c r="A18" i="54"/>
  <c r="A17" i="54"/>
  <c r="A16" i="54"/>
  <c r="F3" i="50"/>
  <c r="G3" i="50"/>
  <c r="G3" i="9"/>
  <c r="F3" i="9"/>
  <c r="F3" i="11" l="1"/>
  <c r="G3" i="32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O2" i="12"/>
  <c r="M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<sst xmlns="http://schemas.openxmlformats.org/spreadsheetml/2006/main" count="119" uniqueCount="101">
  <si>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</si>
  <si>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</si>
  <si>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</si>
  <si>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</si>
  <si>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</si>
  <si>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</si>
  <si>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</si>
  <si>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</si>
  <si>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</si>
  <si>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</si>
  <si>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</si>
  <si>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</si>
  <si>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</si>
  <si>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</si>
  <si>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</si>
  <si>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</si>
  <si>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</si>
  <si>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</si>
  <si>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</si>
  <si>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</si>
  <si>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</si>
  <si>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</si>
  <si>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</si>
  <si>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</si>
  <si>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</si>
  <si>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</si>
  <si>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</si>
  <si>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</si>
  <si>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</si>
  <si>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Gabinete do Secretário Regional do Turismo e Cultura</t>
  </si>
  <si>
    <t>Direção Regional da Cultura</t>
  </si>
  <si>
    <t>Direção Regional do Arquivo e Biblioteca da Madeira</t>
  </si>
  <si>
    <t>Direção Regional do Trabalho e Ação Inspetiva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</si>
  <si>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</si>
  <si>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</si>
  <si>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</si>
  <si>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</si>
  <si>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</si>
  <si>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</si>
  <si>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</si>
  <si>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</si>
  <si>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</si>
  <si>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</si>
  <si>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</si>
  <si>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</si>
  <si>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</si>
  <si>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</si>
  <si>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</si>
  <si>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</si>
  <si>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</si>
  <si>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</si>
  <si>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</si>
  <si>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</si>
  <si>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</si>
  <si>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</si>
  <si>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</si>
  <si>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</si>
  <si>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</si>
  <si>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</si>
  <si>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</si>
  <si>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</si>
  <si>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</si>
  <si>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</si>
  <si>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</si>
  <si>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</si>
  <si>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</si>
  <si>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</si>
  <si>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</si>
  <si>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</si>
  <si>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</si>
  <si>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</si>
  <si>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</si>
  <si>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</si>
  <si>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</si>
  <si>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</si>
  <si>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</si>
  <si>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</si>
  <si>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Gabinete do Secretário Regional dos Equipamentos Infraestruturas</t>
  </si>
  <si>
    <t>Direção Regional de Planeamento, Recursos e Infraestruturas</t>
  </si>
  <si>
    <t>Direção Regional dos Assuntos Sociais</t>
  </si>
  <si>
    <t>Instituto das Florestas e Conservação da Natureza, IP-RAM</t>
  </si>
  <si>
    <t>CARAM -Centro de Abate da Região Autónoma da Madeira, EPERAM</t>
  </si>
  <si>
    <t>EHTM-Escola de Hotelaria e Turismo da Madeira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</si>
  <si>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</si>
  <si>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</si>
  <si>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</si>
  <si>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</si>
  <si>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</si>
  <si>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</si>
  <si>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</si>
  <si>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Economia, Turismo e Cultura</t>
  </si>
  <si>
    <t>Secretaria Regional de Agricultura, Pescas e Ambiente</t>
  </si>
  <si>
    <t>Secretaria Regional de Inclusão, Trabalho e Juventude</t>
  </si>
  <si>
    <t>Gabinete do Secretário e Serviços Dependentes-SRS</t>
  </si>
  <si>
    <t>Gabinete da Secretária Regional</t>
  </si>
  <si>
    <t>Direção Regional de Pescas</t>
  </si>
  <si>
    <t>Instituto do Vinho, do Bordado e do Artesanato da Madeira</t>
  </si>
  <si>
    <t>Conservatório -Escola Profissional das Artes da Madeira</t>
  </si>
  <si>
    <t>Escola Básica e Secundária com Pré-Escolar e Creche do Porto Moniz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</si>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</sst>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3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4" fillId="0" borderId="25" xfId="62" applyFont="1" applyBorder="1" applyAlignment="1">
      <alignment horizontal="center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21" xfId="62" applyFont="1" applyBorder="1" applyAlignment="1">
      <alignment horizontal="center" vertic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01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R15" sqref="R15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L86"/>
  <sheetViews>
    <sheetView showGridLines="0" topLeftCell="A25" zoomScale="120" zoomScaleNormal="120" zoomScalePageLayoutView="115" workbookViewId="0">
      <selection activeCell="J25" sqref="J25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9" width="8.28515625" style="187" customWidth="1"/>
    <col min="10" max="10" width="9.5703125" style="187" customWidth="1"/>
    <col min="11" max="11" width="11.85546875" style="187" customWidth="1"/>
    <col min="12" max="12" width="9.85546875" style="187" customWidth="1"/>
    <col min="13" max="13" width="10.85546875" style="187" customWidth="1"/>
    <col min="14" max="14" width="7.28515625" style="186" customWidth="1"/>
    <col min="15" max="25" width="11.42578125" style="186" customWidth="1"/>
    <col min="26" max="26" width="9.140625" style="186" customWidth="1"/>
    <col min="27" max="30" width="11.42578125" style="186" customWidth="1"/>
    <col min="31" max="31" width="22.28515625" style="186" customWidth="1"/>
    <col min="32" max="35" width="8.85546875" style="186"/>
    <col min="36" max="39" width="9.140625" style="186" customWidth="1"/>
    <col min="40" max="41" width="8.85546875" style="186"/>
    <col min="42" max="16384" width="8.85546875" style="187"/>
  </cols>
  <sheetData>
    <row r="1" spans="2:15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</row>
    <row r="2" spans="2:15" ht="13.5" customHeight="1">
      <c r="B2" s="188"/>
      <c r="C2" s="256" t="str">
        <f>+IF(Índice!$D$2=1,"QUADRO VIII - Execução orçamental por classificação cruzada orgânica e económica (janeiro-dezembro)","TABLE VIII - Budget execution by organic and economic cross-classification (january-december)")</f>
        <v>TABLE VIII - Budget execution by organic and economic cross-classification (january-december)</v>
      </c>
      <c r="D2" s="189"/>
      <c r="E2" s="189"/>
      <c r="F2" s="189"/>
      <c r="G2" s="189"/>
      <c r="H2" s="189"/>
      <c r="I2" s="189"/>
      <c r="J2" s="189"/>
      <c r="K2" s="189"/>
      <c r="L2" s="189"/>
      <c r="M2" s="52" t="str">
        <f>+IF(Índice!$D$2=1,"€ Milhares","€ Thousands")</f>
        <v>€ Thousands</v>
      </c>
      <c r="O2" s="190" t="str">
        <f>+IF(Índice!$D$2=1,"índice","Index")</f>
        <v>Index</v>
      </c>
    </row>
    <row r="3" spans="2:15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+IF(Índice!$D$2=1,"Finanças","Finances")</f>
        <v>Finances</v>
      </c>
      <c r="H3" s="192" t="str">
        <f>+IF(Índice!$D$2=1,"Saúde e Proteção Civil","Health and Civil Protection")</f>
        <v>Health and Civil Protection</v>
      </c>
      <c r="I3" s="192" t="str">
        <f>+IF(Índice!$D$2=1,"Economia, Turismo e Cultura","Economy, Tourism and Culture")</f>
        <v>Economy, Tourism and Culture</v>
      </c>
      <c r="J3" s="192" t="str">
        <f>+IF(Índice!$D$2=1,"Agricultura, Pescas e Ambiente","Agriculture, Fisheries and  Enviroment")</f>
        <v>Agriculture, Fisheries and  Enviroment</v>
      </c>
      <c r="K3" s="192" t="str">
        <f>+IF(Índice!$D$2=1,"Equipamentos e Infraestruturas","Equipment and infrastructures")</f>
        <v>Equipment and infrastructures</v>
      </c>
      <c r="L3" s="192" t="str">
        <f>+IF(Índice!$D$2=1,"Inclusão, Trabalho e Jventude","Inclusion, Labor and Youth")</f>
        <v>Inclusion, Labor and Youth</v>
      </c>
      <c r="M3" s="193" t="s">
        <v>5</v>
      </c>
    </row>
    <row r="4" spans="2:15" ht="27" customHeight="1">
      <c r="C4" s="253" t="str">
        <f>+IF(Índice!$D$2=1,"Despesa corrente","Current expenditure")</f>
        <v>Current expenditure</v>
      </c>
      <c r="D4" s="194">
        <v>15053</v>
      </c>
      <c r="E4" s="194">
        <v>2542.1693999999998</v>
      </c>
      <c r="F4" s="194">
        <v>473271.41093999991</v>
      </c>
      <c r="G4" s="194">
        <v>216400.76363000006</v>
      </c>
      <c r="H4" s="194">
        <v>489078.31232999999</v>
      </c>
      <c r="I4" s="194">
        <v>47049.783389999997</v>
      </c>
      <c r="J4" s="194">
        <v>51668.819989999996</v>
      </c>
      <c r="K4" s="194">
        <v>147498.20533</v>
      </c>
      <c r="L4" s="194">
        <v>28671.62212</v>
      </c>
      <c r="M4" s="194">
        <v>1471234.0871299999</v>
      </c>
    </row>
    <row r="5" spans="2:15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1904.0061399999997</v>
      </c>
      <c r="F5" s="196">
        <v>363083.56887999992</v>
      </c>
      <c r="G5" s="196">
        <v>33803.427310000028</v>
      </c>
      <c r="H5" s="196">
        <v>5681.6158400000004</v>
      </c>
      <c r="I5" s="196">
        <v>20829.374800000001</v>
      </c>
      <c r="J5" s="196">
        <v>28550.871069999994</v>
      </c>
      <c r="K5" s="196">
        <v>18132.783199999994</v>
      </c>
      <c r="L5" s="196">
        <v>7964.4744399999981</v>
      </c>
      <c r="M5" s="196">
        <v>479950.12167999992</v>
      </c>
      <c r="N5" s="21"/>
    </row>
    <row r="6" spans="2:15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1465.8140199999998</v>
      </c>
      <c r="F6" s="198">
        <v>286491.43030999991</v>
      </c>
      <c r="G6" s="198">
        <v>24659.046870000031</v>
      </c>
      <c r="H6" s="198">
        <v>4422.6581100000003</v>
      </c>
      <c r="I6" s="198">
        <v>16442.01123</v>
      </c>
      <c r="J6" s="198">
        <v>22052.645939999995</v>
      </c>
      <c r="K6" s="198">
        <v>14178.471099999995</v>
      </c>
      <c r="L6" s="198">
        <v>6168.7957499999984</v>
      </c>
      <c r="M6" s="198">
        <v>375880.87332999991</v>
      </c>
    </row>
    <row r="7" spans="2:15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34.664169999999999</v>
      </c>
      <c r="F7" s="198">
        <v>8034.9481199999991</v>
      </c>
      <c r="G7" s="198">
        <v>2910.8414499999999</v>
      </c>
      <c r="H7" s="198">
        <v>166.56168000000002</v>
      </c>
      <c r="I7" s="198">
        <v>480.68448000000001</v>
      </c>
      <c r="J7" s="198">
        <v>1121.7013499999998</v>
      </c>
      <c r="K7" s="198">
        <v>548.09722999999997</v>
      </c>
      <c r="L7" s="198">
        <v>330.55995000000001</v>
      </c>
      <c r="M7" s="198">
        <v>13628.058429999999</v>
      </c>
    </row>
    <row r="8" spans="2:15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403.52794999999998</v>
      </c>
      <c r="F8" s="198">
        <v>68557.190450000024</v>
      </c>
      <c r="G8" s="198">
        <v>6233.53899</v>
      </c>
      <c r="H8" s="198">
        <v>1092.3960499999998</v>
      </c>
      <c r="I8" s="198">
        <v>3906.6790900000001</v>
      </c>
      <c r="J8" s="198">
        <v>5376.5237799999986</v>
      </c>
      <c r="K8" s="198">
        <v>3406.2148699999998</v>
      </c>
      <c r="L8" s="198">
        <v>1465.1187399999997</v>
      </c>
      <c r="M8" s="198">
        <v>90441.189920000033</v>
      </c>
    </row>
    <row r="9" spans="2:15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564.91326000000004</v>
      </c>
      <c r="F9" s="196">
        <v>28741.586339999976</v>
      </c>
      <c r="G9" s="196">
        <v>37869.926739999988</v>
      </c>
      <c r="H9" s="196">
        <v>760.47361999999998</v>
      </c>
      <c r="I9" s="196">
        <v>7405.6840699999993</v>
      </c>
      <c r="J9" s="196">
        <v>3086.9181000000008</v>
      </c>
      <c r="K9" s="196">
        <v>88745.211610000013</v>
      </c>
      <c r="L9" s="196">
        <v>553.7107400000001</v>
      </c>
      <c r="M9" s="196">
        <v>167728.42447999999</v>
      </c>
    </row>
    <row r="10" spans="2:15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128.11474999999999</v>
      </c>
      <c r="F10" s="198">
        <v>20328.472609999975</v>
      </c>
      <c r="G10" s="198">
        <v>613.36208999999997</v>
      </c>
      <c r="H10" s="198">
        <v>78.607299999999995</v>
      </c>
      <c r="I10" s="198">
        <v>1648.4042800000002</v>
      </c>
      <c r="J10" s="198">
        <v>462.82558000000006</v>
      </c>
      <c r="K10" s="198">
        <v>2018.6321</v>
      </c>
      <c r="L10" s="198">
        <v>68.53004</v>
      </c>
      <c r="M10" s="198">
        <v>25346.948749999974</v>
      </c>
    </row>
    <row r="11" spans="2:15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436.79851000000002</v>
      </c>
      <c r="F11" s="198">
        <v>8413.1137300000009</v>
      </c>
      <c r="G11" s="198">
        <v>37256.564649999986</v>
      </c>
      <c r="H11" s="198">
        <v>681.86631999999997</v>
      </c>
      <c r="I11" s="198">
        <v>5757.2797899999987</v>
      </c>
      <c r="J11" s="198">
        <v>2624.0925200000006</v>
      </c>
      <c r="K11" s="198">
        <v>86726.57951000001</v>
      </c>
      <c r="L11" s="198">
        <v>485.18070000000012</v>
      </c>
      <c r="M11" s="198">
        <v>142381.47573000001</v>
      </c>
    </row>
    <row r="12" spans="2:15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15.801069999999999</v>
      </c>
      <c r="G12" s="198">
        <v>133972.02705000003</v>
      </c>
      <c r="H12" s="198">
        <v>8.9650000000000007E-2</v>
      </c>
      <c r="I12" s="198">
        <v>6.6959999999999992E-2</v>
      </c>
      <c r="J12" s="198">
        <v>1.99E-3</v>
      </c>
      <c r="K12" s="198">
        <v>0</v>
      </c>
      <c r="L12" s="198">
        <v>0</v>
      </c>
      <c r="M12" s="198">
        <v>133987.98672000002</v>
      </c>
    </row>
    <row r="13" spans="2:15" ht="15" customHeight="1">
      <c r="B13" s="195"/>
      <c r="C13" s="104" t="str">
        <f>+IF(Índice!$D$2=1,"Transferências correntes","Current transfers")</f>
        <v>Current transfers</v>
      </c>
      <c r="D13" s="196">
        <v>15053</v>
      </c>
      <c r="E13" s="196">
        <v>73.25</v>
      </c>
      <c r="F13" s="196">
        <v>81380.576429999986</v>
      </c>
      <c r="G13" s="196">
        <v>9961.6927599999981</v>
      </c>
      <c r="H13" s="196">
        <v>482633.38969999994</v>
      </c>
      <c r="I13" s="196">
        <v>18779.027609999997</v>
      </c>
      <c r="J13" s="196">
        <v>15580.696230000001</v>
      </c>
      <c r="K13" s="196">
        <v>11739.513960000002</v>
      </c>
      <c r="L13" s="196">
        <v>20153.38594</v>
      </c>
      <c r="M13" s="196">
        <v>655354.53262999991</v>
      </c>
    </row>
    <row r="14" spans="2:15" ht="15" customHeight="1">
      <c r="B14" s="195"/>
      <c r="C14" s="109" t="str">
        <f>IF(Índice!$D$2=1,"Administração Pública","Public Administration")</f>
        <v>Public Administration</v>
      </c>
      <c r="D14" s="200">
        <v>15053</v>
      </c>
      <c r="E14" s="200">
        <v>0</v>
      </c>
      <c r="F14" s="200">
        <v>24724.832299999995</v>
      </c>
      <c r="G14" s="200">
        <v>9771.554259999999</v>
      </c>
      <c r="H14" s="200">
        <v>482037.59933999996</v>
      </c>
      <c r="I14" s="200">
        <v>0</v>
      </c>
      <c r="J14" s="200">
        <v>13529.312910000002</v>
      </c>
      <c r="K14" s="200">
        <v>11702.508870000001</v>
      </c>
      <c r="L14" s="200">
        <v>5003.9166699999996</v>
      </c>
      <c r="M14" s="200">
        <v>561822.72434999992</v>
      </c>
    </row>
    <row r="15" spans="2:15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117.78400000000001</v>
      </c>
      <c r="G15" s="198">
        <v>0</v>
      </c>
      <c r="H15" s="198">
        <v>130</v>
      </c>
      <c r="I15" s="198">
        <v>0</v>
      </c>
      <c r="J15" s="198">
        <v>0</v>
      </c>
      <c r="K15" s="198">
        <v>0</v>
      </c>
      <c r="L15" s="198">
        <v>0</v>
      </c>
      <c r="M15" s="198">
        <v>247.78399999999999</v>
      </c>
    </row>
    <row r="16" spans="2:15" ht="15" customHeight="1">
      <c r="B16" s="195"/>
      <c r="C16" s="201" t="str">
        <f>IF(Índice!$D$2=1,"Administração Regional","Regional Administration")</f>
        <v>Regional Administration</v>
      </c>
      <c r="D16" s="198">
        <v>15053</v>
      </c>
      <c r="E16" s="198">
        <v>0</v>
      </c>
      <c r="F16" s="198">
        <v>24607.048299999995</v>
      </c>
      <c r="G16" s="198">
        <v>9771.554259999999</v>
      </c>
      <c r="H16" s="198">
        <v>481907.59933999996</v>
      </c>
      <c r="I16" s="198">
        <v>0</v>
      </c>
      <c r="J16" s="198">
        <v>13529.312910000002</v>
      </c>
      <c r="K16" s="198">
        <v>11702.508870000001</v>
      </c>
      <c r="L16" s="198">
        <v>5003.9166699999996</v>
      </c>
      <c r="M16" s="198">
        <v>561574.94034999993</v>
      </c>
    </row>
    <row r="17" spans="2:13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</row>
    <row r="18" spans="2:13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</row>
    <row r="19" spans="2:13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73.25</v>
      </c>
      <c r="F19" s="200">
        <v>56655.744129999992</v>
      </c>
      <c r="G19" s="200">
        <v>190.13849999999999</v>
      </c>
      <c r="H19" s="200">
        <v>595.79035999999996</v>
      </c>
      <c r="I19" s="200">
        <v>18779.027609999997</v>
      </c>
      <c r="J19" s="200">
        <v>2051.3833199999999</v>
      </c>
      <c r="K19" s="200">
        <v>37.005089999999996</v>
      </c>
      <c r="L19" s="200">
        <v>15149.469270000001</v>
      </c>
      <c r="M19" s="200">
        <v>93531.808279999983</v>
      </c>
    </row>
    <row r="20" spans="2:13" hidden="1">
      <c r="B20" s="195"/>
      <c r="C20" s="187">
        <v>0</v>
      </c>
      <c r="D20" s="198">
        <v>0</v>
      </c>
      <c r="E20" s="198">
        <v>0</v>
      </c>
      <c r="F20" s="198">
        <v>17160.621089999997</v>
      </c>
      <c r="G20" s="198">
        <v>0</v>
      </c>
      <c r="H20" s="198">
        <v>0</v>
      </c>
      <c r="I20" s="198">
        <v>559.92499999999995</v>
      </c>
      <c r="J20" s="198">
        <v>2.3198000000000003</v>
      </c>
      <c r="K20" s="198">
        <v>6.2210799999999997</v>
      </c>
      <c r="L20" s="198">
        <v>0</v>
      </c>
      <c r="M20" s="198">
        <v>17729.086969999997</v>
      </c>
    </row>
    <row r="21" spans="2:13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</row>
    <row r="22" spans="2:13" hidden="1">
      <c r="B22" s="195"/>
      <c r="C22" s="104">
        <v>0</v>
      </c>
      <c r="D22" s="198">
        <v>0</v>
      </c>
      <c r="E22" s="198">
        <v>24.5</v>
      </c>
      <c r="F22" s="198">
        <v>33517.089249999997</v>
      </c>
      <c r="G22" s="198">
        <v>35.892970000000005</v>
      </c>
      <c r="H22" s="198">
        <v>571</v>
      </c>
      <c r="I22" s="198">
        <v>17894.43966</v>
      </c>
      <c r="J22" s="198">
        <v>1931.2818200000002</v>
      </c>
      <c r="K22" s="198">
        <v>0.3</v>
      </c>
      <c r="L22" s="198">
        <v>9987.6848800000007</v>
      </c>
      <c r="M22" s="198">
        <v>63962.188580000002</v>
      </c>
    </row>
    <row r="23" spans="2:13" hidden="1">
      <c r="B23" s="195"/>
      <c r="C23" s="104">
        <v>0</v>
      </c>
      <c r="D23" s="198">
        <v>0</v>
      </c>
      <c r="E23" s="198">
        <v>0</v>
      </c>
      <c r="F23" s="198">
        <v>5978.0337899999995</v>
      </c>
      <c r="G23" s="198">
        <v>127.76152999999999</v>
      </c>
      <c r="H23" s="198">
        <v>24.79036</v>
      </c>
      <c r="I23" s="198">
        <v>295.38452000000001</v>
      </c>
      <c r="J23" s="198">
        <v>117.78169999999999</v>
      </c>
      <c r="K23" s="198">
        <v>30.484009999999998</v>
      </c>
      <c r="L23" s="198">
        <v>5161.7843899999998</v>
      </c>
      <c r="M23" s="198">
        <v>11736.020299999998</v>
      </c>
    </row>
    <row r="24" spans="2:13" hidden="1">
      <c r="B24" s="195"/>
      <c r="C24" s="187">
        <v>0</v>
      </c>
      <c r="D24" s="198">
        <v>0</v>
      </c>
      <c r="E24" s="198">
        <v>48.75</v>
      </c>
      <c r="F24" s="198">
        <v>0</v>
      </c>
      <c r="G24" s="198">
        <v>26.484000000000002</v>
      </c>
      <c r="H24" s="198">
        <v>0</v>
      </c>
      <c r="I24" s="198">
        <v>29.27843</v>
      </c>
      <c r="J24" s="198">
        <v>0</v>
      </c>
      <c r="K24" s="198">
        <v>0</v>
      </c>
      <c r="L24" s="198">
        <v>0</v>
      </c>
      <c r="M24" s="198">
        <v>104.51243000000001</v>
      </c>
    </row>
    <row r="25" spans="2:13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4396.5558099999998</v>
      </c>
      <c r="K25" s="198">
        <v>28845.202429999998</v>
      </c>
      <c r="L25" s="198">
        <v>0</v>
      </c>
      <c r="M25" s="198">
        <v>33241.758239999996</v>
      </c>
    </row>
    <row r="26" spans="2:13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49.878219999999999</v>
      </c>
      <c r="G26" s="198">
        <v>793.68976999999995</v>
      </c>
      <c r="H26" s="198">
        <v>2.7435200000000002</v>
      </c>
      <c r="I26" s="198">
        <v>35.629949999999994</v>
      </c>
      <c r="J26" s="198">
        <v>53.776789999999998</v>
      </c>
      <c r="K26" s="198">
        <v>35.494130000000006</v>
      </c>
      <c r="L26" s="198">
        <v>5.0999999999999997E-2</v>
      </c>
      <c r="M26" s="198">
        <v>971.2633800000001</v>
      </c>
    </row>
    <row r="27" spans="2:13" ht="24.95" customHeight="1">
      <c r="B27" s="195"/>
      <c r="C27" s="202" t="str">
        <f>+IF(Índice!$D$2=1,"Despesa de capital","Capital expenditure")</f>
        <v>Capital expenditure</v>
      </c>
      <c r="D27" s="32">
        <v>147</v>
      </c>
      <c r="E27" s="32">
        <v>5.25298</v>
      </c>
      <c r="F27" s="32">
        <v>7969.0997900000002</v>
      </c>
      <c r="G27" s="32">
        <v>14872.694169999995</v>
      </c>
      <c r="H27" s="32">
        <v>1260.0674500000002</v>
      </c>
      <c r="I27" s="32">
        <v>2287.3450899999998</v>
      </c>
      <c r="J27" s="32">
        <v>12623.712600000001</v>
      </c>
      <c r="K27" s="32">
        <v>116060.37473000004</v>
      </c>
      <c r="L27" s="32">
        <v>8256.9191600000013</v>
      </c>
      <c r="M27" s="32">
        <v>163482.46597000002</v>
      </c>
    </row>
    <row r="28" spans="2:13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5.25298</v>
      </c>
      <c r="F28" s="198">
        <v>2990.3896900000004</v>
      </c>
      <c r="G28" s="198">
        <v>10728.515409999996</v>
      </c>
      <c r="H28" s="198">
        <v>24.656979999999997</v>
      </c>
      <c r="I28" s="198">
        <v>2114.0402299999996</v>
      </c>
      <c r="J28" s="198">
        <v>1868.8585500000004</v>
      </c>
      <c r="K28" s="198">
        <v>90890.403180000052</v>
      </c>
      <c r="L28" s="198">
        <v>109.92221000000001</v>
      </c>
      <c r="M28" s="198">
        <v>108732.03923000005</v>
      </c>
    </row>
    <row r="29" spans="2:13" ht="15" customHeight="1">
      <c r="C29" s="104" t="str">
        <f>+IF(Índice!$D$2=1,"Transferências capital","Capital transfers")</f>
        <v>Capital transfers</v>
      </c>
      <c r="D29" s="196">
        <v>147</v>
      </c>
      <c r="E29" s="196">
        <v>0</v>
      </c>
      <c r="F29" s="196">
        <v>4978.7101000000002</v>
      </c>
      <c r="G29" s="196">
        <v>4144.1787599999998</v>
      </c>
      <c r="H29" s="196">
        <v>1235.4104700000003</v>
      </c>
      <c r="I29" s="196">
        <v>173.30485999999999</v>
      </c>
      <c r="J29" s="196">
        <v>10754.85405</v>
      </c>
      <c r="K29" s="196">
        <v>25169.971549999991</v>
      </c>
      <c r="L29" s="196">
        <v>8146.9969500000007</v>
      </c>
      <c r="M29" s="196">
        <v>54750.426739999995</v>
      </c>
    </row>
    <row r="30" spans="2:13" ht="15" customHeight="1">
      <c r="C30" s="109" t="str">
        <f>IF(Índice!$D$2=1,"Administração Pública","Public Administration")</f>
        <v>Public Administration</v>
      </c>
      <c r="D30" s="200">
        <v>147</v>
      </c>
      <c r="E30" s="200">
        <v>0</v>
      </c>
      <c r="F30" s="200">
        <v>3209.7705600000004</v>
      </c>
      <c r="G30" s="200">
        <v>4115.5627199999999</v>
      </c>
      <c r="H30" s="200">
        <v>1185.9664700000003</v>
      </c>
      <c r="I30" s="200">
        <v>0</v>
      </c>
      <c r="J30" s="200">
        <v>10332.354359999999</v>
      </c>
      <c r="K30" s="200">
        <v>25169.971549999991</v>
      </c>
      <c r="L30" s="200">
        <v>19.045540000000003</v>
      </c>
      <c r="M30" s="200">
        <v>44179.67119999999</v>
      </c>
    </row>
    <row r="31" spans="2:13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10137.75088</v>
      </c>
      <c r="K31" s="198">
        <v>0</v>
      </c>
      <c r="L31" s="198">
        <v>0</v>
      </c>
      <c r="M31" s="198">
        <v>10137.75088</v>
      </c>
    </row>
    <row r="32" spans="2:13" ht="15" customHeight="1">
      <c r="C32" s="201" t="str">
        <f>IF(Índice!$D$2=1,"Administração Regional","Regional Administration")</f>
        <v>Regional Administration</v>
      </c>
      <c r="D32" s="198">
        <v>147</v>
      </c>
      <c r="E32" s="198">
        <v>0</v>
      </c>
      <c r="F32" s="198">
        <v>3209.7705600000004</v>
      </c>
      <c r="G32" s="198">
        <v>1941.3121399999998</v>
      </c>
      <c r="H32" s="198">
        <v>1185.9664700000003</v>
      </c>
      <c r="I32" s="198">
        <v>0</v>
      </c>
      <c r="J32" s="198">
        <v>194.60348000000002</v>
      </c>
      <c r="K32" s="198">
        <v>25169.971549999991</v>
      </c>
      <c r="L32" s="198">
        <v>19.045540000000003</v>
      </c>
      <c r="M32" s="198">
        <v>31867.66973999999</v>
      </c>
    </row>
    <row r="33" spans="1:168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2174.2505799999999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2174.2505799999999</v>
      </c>
    </row>
    <row r="34" spans="1:168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</row>
    <row r="35" spans="1:168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1768.9395400000001</v>
      </c>
      <c r="G35" s="200">
        <v>28.616039999999998</v>
      </c>
      <c r="H35" s="200">
        <v>49.444000000000003</v>
      </c>
      <c r="I35" s="200">
        <v>173.30485999999999</v>
      </c>
      <c r="J35" s="200">
        <v>422.49968999999999</v>
      </c>
      <c r="K35" s="200">
        <v>0</v>
      </c>
      <c r="L35" s="200">
        <v>8127.9514100000006</v>
      </c>
      <c r="M35" s="200">
        <v>10570.75554</v>
      </c>
    </row>
    <row r="36" spans="1:168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</row>
    <row r="37" spans="1:168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</row>
    <row r="38" spans="1:168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15200</v>
      </c>
      <c r="E38" s="204">
        <v>2547.42238</v>
      </c>
      <c r="F38" s="204">
        <v>481240.51072999992</v>
      </c>
      <c r="G38" s="204">
        <v>231273.45780000006</v>
      </c>
      <c r="H38" s="204">
        <v>490338.37977999996</v>
      </c>
      <c r="I38" s="204">
        <v>49337.128479999999</v>
      </c>
      <c r="J38" s="204">
        <v>64292.532589999995</v>
      </c>
      <c r="K38" s="204">
        <v>263558.58006000007</v>
      </c>
      <c r="L38" s="204">
        <v>36928.541280000005</v>
      </c>
      <c r="M38" s="204">
        <v>1634716.5530999999</v>
      </c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</row>
    <row r="39" spans="1:168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</row>
    <row r="40" spans="1:168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317.25900000000001</v>
      </c>
      <c r="K40" s="208">
        <v>18723.296689999999</v>
      </c>
      <c r="L40" s="208">
        <v>0</v>
      </c>
      <c r="M40" s="208">
        <v>19040.555690000001</v>
      </c>
    </row>
    <row r="41" spans="1:168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263321.89052999998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263321.89052999998</v>
      </c>
    </row>
    <row r="42" spans="1:168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</row>
    <row r="43" spans="1:168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</row>
    <row r="44" spans="1:168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167435.33857999998</v>
      </c>
    </row>
    <row r="45" spans="1:168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</row>
    <row r="46" spans="1:168">
      <c r="C46" s="334" t="str">
        <f>+IF(Índice!$D$2=1,"Fonte: Secretaria Regional das Finanças","Source: Regional Finance Secretariat")</f>
        <v>Source: Regional Finance Secretariat</v>
      </c>
      <c r="D46" s="334" t="str">
        <f>+IF(Índice!$D$2="PT","Fonte: Vice-Presidência do Governo Regional","Source: Vice-Presidency of the Regional Government")</f>
        <v>Source: Vice-Presidency of the Regional Government</v>
      </c>
      <c r="E46" s="334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</row>
    <row r="47" spans="1:168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</row>
    <row r="48" spans="1:168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</row>
    <row r="49" spans="3:13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</row>
    <row r="50" spans="3:13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</row>
    <row r="51" spans="3:13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</row>
    <row r="52" spans="3:13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</row>
    <row r="53" spans="3:13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</row>
    <row r="54" spans="3:13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</row>
    <row r="55" spans="3:13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</row>
    <row r="56" spans="3:13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</row>
    <row r="57" spans="3:13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</row>
    <row r="58" spans="3:13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</row>
    <row r="59" spans="3:13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</row>
    <row r="60" spans="3:13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</row>
    <row r="61" spans="3:13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</row>
    <row r="62" spans="3:13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</row>
    <row r="63" spans="3:13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</row>
    <row r="64" spans="3:13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</row>
    <row r="65" spans="3:13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</row>
    <row r="66" spans="3:13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</row>
    <row r="67" spans="3:13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</row>
    <row r="68" spans="3:13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</row>
    <row r="69" spans="3:13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</row>
    <row r="70" spans="3:13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</row>
    <row r="71" spans="3:13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</row>
    <row r="72" spans="3:13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</row>
    <row r="73" spans="3:13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</row>
    <row r="74" spans="3:13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</row>
    <row r="75" spans="3:13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</row>
    <row r="76" spans="3:13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</row>
    <row r="77" spans="3:13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</row>
    <row r="78" spans="3:13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</row>
    <row r="79" spans="3:13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</row>
    <row r="80" spans="3:13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</row>
    <row r="81" spans="3:13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</row>
    <row r="82" spans="3:13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</row>
    <row r="83" spans="3:13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</row>
    <row r="84" spans="3:13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</row>
    <row r="85" spans="3:13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</row>
    <row r="86" spans="3:13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O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J25" sqref="J25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(janeiro-dezembro)","TABLE IX - RPEs global balance (january-december)")</f>
        <v>TABLE IX - RPEs global balance (january-december)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-12372.797889999638</v>
      </c>
      <c r="E5" s="82">
        <v>16660.233939999947</v>
      </c>
    </row>
    <row r="6" spans="2:7">
      <c r="B6" s="29"/>
      <c r="C6" s="103"/>
      <c r="D6" s="103"/>
      <c r="E6" s="103"/>
    </row>
    <row r="7" spans="2:7">
      <c r="B7" s="29"/>
      <c r="C7" s="334" t="str">
        <f>+IF(Índice!$D$2=1,"Fonte: Secretaria Regional das Finanças","Source: Regional Finance Secretariat")</f>
        <v>Source: Regional Finance Secretariat</v>
      </c>
      <c r="D7" s="334" t="str">
        <f>+IF(Índice!$D$2="PT","Fonte: Vice-Presidência do Governo Regional","Source: Vice-Presidency of the Regional Government")</f>
        <v>Source: Vice-Presidency of the Regional Government</v>
      </c>
      <c r="E7" s="334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J25" sqref="J25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5" t="str">
        <f>+IF(Índice!$D$2=1,"QUADRO X - Execução orçamental dos Serviços e Fundos Autónomos e EPR (janeiro-dezembro)","TABLE X - ASFs and RPEs budget execution (january-december)")</f>
        <v>TABLE X - ASFs and RPEs budget execution (january-december)</v>
      </c>
      <c r="D2" s="336"/>
      <c r="E2" s="336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9609.6903900003526</v>
      </c>
      <c r="E4" s="98">
        <v>16660.233939999947</v>
      </c>
      <c r="F4" s="98">
        <v>26269.9243300003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621941.08767000015</v>
      </c>
      <c r="E7" s="74">
        <v>525264.97944000002</v>
      </c>
      <c r="F7" s="74">
        <v>1147206.0671100002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9631.4825400003519</v>
      </c>
      <c r="E8" s="74">
        <v>18373.503639999948</v>
      </c>
      <c r="F8" s="74">
        <v>28004.986180000298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5706.7024900002871</v>
      </c>
      <c r="E9" s="74">
        <v>15881.103659999906</v>
      </c>
      <c r="F9" s="74">
        <v>21587.806150000077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3902.9878999999974</v>
      </c>
      <c r="E10" s="74">
        <v>779.13028000001214</v>
      </c>
      <c r="F10" s="74">
        <v>4682.1181800000049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4" t="str">
        <f>+IF(Índice!$D$2=1,"Fonte: Secretaria Regional das Finanças","Source: Regional Finance Secretariat")</f>
        <v>Source: Regional Finance Secretariat</v>
      </c>
      <c r="D12" s="334" t="str">
        <f>+IF(Índice!$D$2="PT","Fonte: Vice-Presidência do Governo Regional","Source: Vice-Presidency of the Regional Government")</f>
        <v>Source: Vice-Presidency of the Regional Government</v>
      </c>
      <c r="E12" s="334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topLeftCell="A11" zoomScale="120" zoomScaleNormal="120" zoomScalePageLayoutView="115" workbookViewId="0">
      <selection activeCell="J25" sqref="J25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(janeiro-dezembro)","TABLE XI - ASFs and RPEs budget execution (january-december)")</f>
        <v>TABLE XI - ASFs and RPEs budget execution (january-december)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622627.51778000046</v>
      </c>
      <c r="E4" s="108">
        <v>462298.03522999992</v>
      </c>
      <c r="F4" s="108">
        <v>1084925.5530100004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4804.3843599999991</v>
      </c>
      <c r="E8" s="74">
        <v>8825.0457000000006</v>
      </c>
      <c r="F8" s="74">
        <v>13629.430059999999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611270.26507000043</v>
      </c>
      <c r="E9" s="74">
        <v>414335.47221999994</v>
      </c>
      <c r="F9" s="74">
        <v>1025605.7372900003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40801.576909999996</v>
      </c>
      <c r="E10" s="74">
        <v>4498.0642599999992</v>
      </c>
      <c r="F10" s="74">
        <v>45299.641169999995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568548.38476000051</v>
      </c>
      <c r="E11" s="74">
        <v>409827.11730999994</v>
      </c>
      <c r="F11" s="74">
        <v>978375.5020700004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5629.1008899999997</v>
      </c>
      <c r="E12" s="74">
        <v>18684.053370000005</v>
      </c>
      <c r="F12" s="74">
        <v>24313.154260000003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923.76746000000003</v>
      </c>
      <c r="E13" s="74">
        <v>20453.463940000001</v>
      </c>
      <c r="F13" s="74">
        <v>21377.231400000001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8945.0524299999979</v>
      </c>
      <c r="E14" s="83">
        <v>81340.447849999997</v>
      </c>
      <c r="F14" s="83">
        <v>90285.500279999993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1279.39903</v>
      </c>
      <c r="F15" s="34">
        <v>1279.39903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8885.3798899999983</v>
      </c>
      <c r="E16" s="34">
        <v>77701.853739999991</v>
      </c>
      <c r="F16" s="74">
        <v>86587.233629999988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6168.2461099999991</v>
      </c>
      <c r="E17" s="34">
        <v>52020.403030000001</v>
      </c>
      <c r="F17" s="74">
        <v>58188.649140000001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2717.1337799999992</v>
      </c>
      <c r="E18" s="74">
        <v>25681.45070999999</v>
      </c>
      <c r="F18" s="74">
        <v>28398.58448999999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2244.9627300000006</v>
      </c>
      <c r="F19" s="74">
        <v>2244.9627300000006</v>
      </c>
    </row>
    <row r="20" spans="2:6" ht="11.25" customHeight="1">
      <c r="C20" s="110" t="str">
        <f>+IF(Índice!$D$2=1,"Receita efetiva","Effective revenue")</f>
        <v>Effective revenue</v>
      </c>
      <c r="D20" s="83">
        <v>631572.5702100005</v>
      </c>
      <c r="E20" s="83">
        <v>543638.48307999992</v>
      </c>
      <c r="F20" s="83">
        <v>1175211.0532900004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616920.81529000017</v>
      </c>
      <c r="E22" s="83">
        <v>446416.93157000002</v>
      </c>
      <c r="F22" s="83">
        <v>1063337.7468600003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58670.850590000009</v>
      </c>
      <c r="E23" s="74">
        <v>273594.44794999994</v>
      </c>
      <c r="F23" s="74">
        <v>332265.29853999993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111939.14388000002</v>
      </c>
      <c r="E24" s="74">
        <v>156175.44485000012</v>
      </c>
      <c r="F24" s="74">
        <v>268114.58873000013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21.792149999999999</v>
      </c>
      <c r="E25" s="74">
        <v>1713.2697000000001</v>
      </c>
      <c r="F25" s="74">
        <v>1735.06185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439793.38097000006</v>
      </c>
      <c r="E26" s="74">
        <v>13314.578500000001</v>
      </c>
      <c r="F26" s="74">
        <v>453107.95947000006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3173.5061800000003</v>
      </c>
      <c r="E27" s="74">
        <v>0</v>
      </c>
      <c r="F27" s="59">
        <v>3173.5061800000003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436619.87479000003</v>
      </c>
      <c r="E28" s="74">
        <v>13314.578500000001</v>
      </c>
      <c r="F28" s="59">
        <v>449934.45329000003</v>
      </c>
    </row>
    <row r="29" spans="2:6" ht="11.25" customHeight="1">
      <c r="C29" s="104" t="str">
        <f>+IF(Índice!$D$2=1,"Subsídios","Subsidies")</f>
        <v>Subsidies</v>
      </c>
      <c r="D29" s="74">
        <v>6308.1778900000008</v>
      </c>
      <c r="E29" s="74">
        <v>8.9929199999999998</v>
      </c>
      <c r="F29" s="74">
        <v>6317.1708100000005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187.46980999999997</v>
      </c>
      <c r="E30" s="74">
        <v>1610.1976499999996</v>
      </c>
      <c r="F30" s="74">
        <v>1797.6674599999997</v>
      </c>
    </row>
    <row r="31" spans="2:6" ht="11.25" customHeight="1">
      <c r="C31" s="110" t="str">
        <f>+IF(Índice!$D$2=1,"Despesa de capital","Capital expenditure")</f>
        <v>Capital expenditure</v>
      </c>
      <c r="D31" s="83">
        <v>5042.0645300000006</v>
      </c>
      <c r="E31" s="83">
        <v>80561.317569999985</v>
      </c>
      <c r="F31" s="83">
        <v>85603.382099999988</v>
      </c>
    </row>
    <row r="32" spans="2:6" ht="11.25" customHeight="1">
      <c r="C32" s="104" t="str">
        <f>+IF(Índice!$D$2=1,"Investimento","Investment")</f>
        <v>Investment</v>
      </c>
      <c r="D32" s="74">
        <v>2279.6338300000016</v>
      </c>
      <c r="E32" s="74">
        <v>77412.889099999986</v>
      </c>
      <c r="F32" s="74">
        <v>79692.522929999992</v>
      </c>
    </row>
    <row r="33" spans="3:6" ht="11.25" customHeight="1">
      <c r="C33" s="104" t="str">
        <f>+IF(Índice!$D$2=1,"Transferências capital","Capital transfers")</f>
        <v>Capital transfers</v>
      </c>
      <c r="D33" s="74">
        <v>2762.430699999999</v>
      </c>
      <c r="E33" s="74">
        <v>3148.4284700000003</v>
      </c>
      <c r="F33" s="74">
        <v>5910.8591699999997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621962.87982000015</v>
      </c>
      <c r="E36" s="83">
        <v>526978.24913999997</v>
      </c>
      <c r="F36" s="83">
        <v>1148941.1289600001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7005.5941899999989</v>
      </c>
      <c r="E38" s="35">
        <v>637.31693999999993</v>
      </c>
      <c r="F38" s="35">
        <v>7642.9111299999986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17141.671260000003</v>
      </c>
      <c r="F39" s="35">
        <v>17141.671260000003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9609.6903900003526</v>
      </c>
      <c r="E44" s="114">
        <v>16660.233939999947</v>
      </c>
      <c r="F44" s="114">
        <v>26269.9243300003</v>
      </c>
    </row>
    <row r="45" spans="3:6" ht="15" customHeight="1">
      <c r="C45" s="334" t="str">
        <f>+IF(Índice!$D$2=1,"Fonte: Secretaria Regional das Finanças","Source: Regional Finance Secretariat")</f>
        <v>Source: Regional Finance Secretariat</v>
      </c>
      <c r="D45" s="334" t="str">
        <f>+IF(Índice!$D$2="PT","Fonte: Vice-Presidência do Governo Regional","Source: Vice-Presidency of the Regional Government")</f>
        <v>Source: Vice-Presidency of the Regional Government</v>
      </c>
      <c r="E45" s="334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topLeftCell="A13" zoomScale="120" zoomScaleNormal="120" zoomScalePageLayoutView="115" workbookViewId="0">
      <selection activeCell="J25" sqref="J25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(dezembro)","TABLE XII - ASFs and RPEs budget execution (december)")</f>
        <v>TABLE XII - ASFs and RPEs budget execution (december)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+IF(Índice!$D$2=1,"maio 2024","may 2024")</f>
        <v>may 2024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93427.145820000398</v>
      </c>
      <c r="E5" s="317">
        <v>83017.376039999974</v>
      </c>
      <c r="F5" s="317">
        <v>176444.52186000039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93427.145820000398</v>
      </c>
      <c r="E9" s="74">
        <v>83017.376039999974</v>
      </c>
      <c r="F9" s="74">
        <v>176444.52186000039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92326.143400000394</v>
      </c>
      <c r="E10" s="74">
        <v>76946.617799999949</v>
      </c>
      <c r="F10" s="74">
        <v>169272.76120000036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1683.8244499999973</v>
      </c>
      <c r="E11" s="83">
        <v>19128.639259999996</v>
      </c>
      <c r="F11" s="83">
        <v>20812.463709999993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397.92000000000013</v>
      </c>
      <c r="F12" s="34">
        <v>397.92000000000013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1668.2030799999973</v>
      </c>
      <c r="E13" s="34">
        <v>17114.255679999991</v>
      </c>
      <c r="F13" s="74">
        <v>18782.458759999987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95110.970270000398</v>
      </c>
      <c r="E15" s="83">
        <v>102146.01529999997</v>
      </c>
      <c r="F15" s="83">
        <v>197256.98557000037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106503.01629000036</v>
      </c>
      <c r="E17" s="83">
        <v>73828.778079999887</v>
      </c>
      <c r="F17" s="83">
        <v>180331.79437000025</v>
      </c>
    </row>
    <row r="18" spans="3:6" ht="11.25" customHeight="1">
      <c r="C18" s="104" t="str">
        <f>+IF(Índice!$D$2=1,"Consumo público","Public consumption")</f>
        <v>Public consumption</v>
      </c>
      <c r="D18" s="74">
        <v>24725.977850000047</v>
      </c>
      <c r="E18" s="74">
        <v>72403.748329999886</v>
      </c>
      <c r="F18" s="74">
        <v>97129.72617999994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4819.3721499999765</v>
      </c>
      <c r="E19" s="74">
        <v>32567.437099999875</v>
      </c>
      <c r="F19" s="74">
        <v>37386.809249999853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19906.605700000069</v>
      </c>
      <c r="E20" s="74">
        <v>39836.311230000007</v>
      </c>
      <c r="F20" s="74">
        <v>59742.916930000079</v>
      </c>
    </row>
    <row r="21" spans="3:6" ht="11.25" customHeight="1">
      <c r="C21" s="104" t="str">
        <f>+IF(Índice!$D$2=1,"Subsídios","Subsidies")</f>
        <v>Subsidies</v>
      </c>
      <c r="D21" s="74">
        <v>595.05449000000112</v>
      </c>
      <c r="E21" s="74">
        <v>8.9929199999999998</v>
      </c>
      <c r="F21" s="74">
        <v>604.04741000000115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0.44559999999999855</v>
      </c>
      <c r="E22" s="74">
        <v>202.2853999999999</v>
      </c>
      <c r="F22" s="59">
        <v>202.73099999999988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81181.538350000323</v>
      </c>
      <c r="E23" s="74">
        <v>1213.7514300000053</v>
      </c>
      <c r="F23" s="59">
        <v>82395.289780000327</v>
      </c>
    </row>
    <row r="24" spans="3:6" ht="11.25" customHeight="1">
      <c r="C24" s="110" t="str">
        <f>+IF(Índice!$D$2=1,"Despesa de capital","Capital expenditure")</f>
        <v>Capital expenditure</v>
      </c>
      <c r="D24" s="83">
        <v>783.06630000000052</v>
      </c>
      <c r="E24" s="83">
        <v>18628.928789999984</v>
      </c>
      <c r="F24" s="83">
        <v>19411.995089999986</v>
      </c>
    </row>
    <row r="25" spans="3:6" ht="11.25" customHeight="1">
      <c r="C25" s="104" t="str">
        <f>+IF(Índice!$D$2=1,"Investimento","Investment")</f>
        <v>Investment</v>
      </c>
      <c r="D25" s="74">
        <v>569.20123000000115</v>
      </c>
      <c r="E25" s="74">
        <v>18540.065609999983</v>
      </c>
      <c r="F25" s="74">
        <v>19109.266839999986</v>
      </c>
    </row>
    <row r="26" spans="3:6" ht="11.25" customHeight="1">
      <c r="C26" s="104" t="str">
        <f>+IF(Índice!$D$2=1,"Transferências capital","Capital transfers")</f>
        <v>Capital transfers</v>
      </c>
      <c r="D26" s="74">
        <v>213.86506999999938</v>
      </c>
      <c r="E26" s="74">
        <v>88.86318000000017</v>
      </c>
      <c r="F26" s="74">
        <v>302.72824999999955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107286.08259000037</v>
      </c>
      <c r="E29" s="83">
        <v>92457.706869999878</v>
      </c>
      <c r="F29" s="83">
        <v>199743.78946000023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-12175.112319999971</v>
      </c>
      <c r="E31" s="319">
        <v>9688.3084300000919</v>
      </c>
      <c r="F31" s="319">
        <v>-2486.8038899998792</v>
      </c>
    </row>
    <row r="32" spans="3:6" ht="15" customHeight="1">
      <c r="C32" s="334" t="str">
        <f>+IF(Índice!$D$2=1,"Fonte: Secretaria Regional das Finanças","Source: Regional Finance Secretariat")</f>
        <v>Source: Regional Finance Secretariat</v>
      </c>
      <c r="D32" s="334"/>
      <c r="E32" s="334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J25" sqref="J25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dezembro de 2024 (valores acumulados)","Table XIII- Accounts payable of the Regional Administration, december (accumulated)")</f>
        <v>Table XIII- Accounts payable of the Regional Administration, december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40" t="s">
        <v>7</v>
      </c>
      <c r="D3" s="337" t="str">
        <f>+IF(Índice!$D$2=1,"dezembro 2024","december 2024")</f>
        <v>december 2024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44" t="str">
        <f>+IF(Índice!$D$2=1,"Variação face ao stock inicial de janeiro","Change from period initial stock")</f>
        <v>Change from period initial stock</v>
      </c>
      <c r="H3" s="345"/>
      <c r="I3" s="345"/>
    </row>
    <row r="4" spans="2:11" ht="12.75" customHeight="1">
      <c r="C4" s="340"/>
      <c r="D4" s="352" t="str">
        <f>+IF(Índice!$D$2=1,"Stock final do período","Accumulated")</f>
        <v>Accumulated</v>
      </c>
      <c r="E4" s="352"/>
      <c r="F4" s="352"/>
      <c r="G4" s="349" t="str">
        <f>+IF(Índice!$D$2=1,"Passivo","Liabilities")</f>
        <v>Liabilities</v>
      </c>
      <c r="H4" s="349" t="str">
        <f>+IF(Índice!$D$2=1,"Contas a pagar","Accounts payable")</f>
        <v>Accounts payable</v>
      </c>
      <c r="I4" s="338" t="str">
        <f>+IF(Índice!$D$2=1,"Pagamentos em atraso","Late payments")</f>
        <v>Late payments</v>
      </c>
    </row>
    <row r="5" spans="2:11" ht="22.5">
      <c r="B5" s="29"/>
      <c r="C5" s="340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50"/>
      <c r="H5" s="350"/>
      <c r="I5" s="339"/>
    </row>
    <row r="6" spans="2:11">
      <c r="B6" s="29"/>
      <c r="C6" s="119" t="str">
        <f>+IF(Índice!$D$2=1,"Despesa corrente","Current expenditure")</f>
        <v>Current expenditure</v>
      </c>
      <c r="D6" s="162">
        <v>105441775.67000002</v>
      </c>
      <c r="E6" s="162">
        <v>95633365.530000001</v>
      </c>
      <c r="F6" s="162">
        <v>41209196.289999992</v>
      </c>
      <c r="G6" s="91">
        <v>-0.37297588882931521</v>
      </c>
      <c r="H6" s="91">
        <v>-0.39694343776230911</v>
      </c>
      <c r="I6" s="116">
        <v>0.10365131591582322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1398429.7400000002</v>
      </c>
      <c r="E7" s="165">
        <v>831844.23</v>
      </c>
      <c r="F7" s="165">
        <v>579.58999999999992</v>
      </c>
      <c r="G7" s="95">
        <v>9.393378507363348E-2</v>
      </c>
      <c r="H7" s="95">
        <v>0.15137599624957621</v>
      </c>
      <c r="I7" s="121">
        <v>7.1449698672680695E-2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89833520.609999999</v>
      </c>
      <c r="E8" s="165">
        <v>89687173.549999997</v>
      </c>
      <c r="F8" s="165">
        <v>39640515.140000001</v>
      </c>
      <c r="G8" s="95">
        <v>-0.11323464215106616</v>
      </c>
      <c r="H8" s="95">
        <v>-0.10909113977420282</v>
      </c>
      <c r="I8" s="121">
        <v>0.1086052612429349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8896904.4299999997</v>
      </c>
      <c r="E9" s="165">
        <v>3617612.6599999992</v>
      </c>
      <c r="F9" s="165">
        <v>1485177.8499999999</v>
      </c>
      <c r="G9" s="95">
        <v>-0.15470390439952486</v>
      </c>
      <c r="H9" s="95">
        <v>-0.32224035499373216</v>
      </c>
      <c r="I9" s="121">
        <v>3.6136023962262565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4616782.3100000005</v>
      </c>
      <c r="E10" s="165">
        <v>807204.05</v>
      </c>
      <c r="F10" s="165">
        <v>82872.710000000006</v>
      </c>
      <c r="G10" s="95">
        <v>-0.91320420312745965</v>
      </c>
      <c r="H10" s="95">
        <v>-0.98385451591545481</v>
      </c>
      <c r="I10" s="121">
        <v>-0.93418331684157951</v>
      </c>
    </row>
    <row r="11" spans="2:11">
      <c r="B11" s="29"/>
      <c r="C11" s="120" t="str">
        <f>+IF(Índice!$D$2=1,"Subsídios","Subsidies")</f>
        <v>Subsidies</v>
      </c>
      <c r="D11" s="165">
        <v>687675.80999999994</v>
      </c>
      <c r="E11" s="165">
        <v>687675.80999999994</v>
      </c>
      <c r="F11" s="165">
        <v>0</v>
      </c>
      <c r="G11" s="95">
        <v>-0.62822287086947626</v>
      </c>
      <c r="H11" s="95">
        <v>-0.62822287086947626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8462.77</v>
      </c>
      <c r="E12" s="165">
        <v>1855.23</v>
      </c>
      <c r="F12" s="165">
        <v>51</v>
      </c>
      <c r="G12" s="95">
        <v>-0.34681999280656606</v>
      </c>
      <c r="H12" s="95">
        <v>-0.70777889086304013</v>
      </c>
      <c r="I12" s="121">
        <v>-0.80384615384615388</v>
      </c>
    </row>
    <row r="13" spans="2:11">
      <c r="B13" s="29"/>
      <c r="C13" s="115" t="str">
        <f>+IF(Índice!$D$2=1,"Despesa de capital","Capital expenditure")</f>
        <v>Capital expenditure</v>
      </c>
      <c r="D13" s="163">
        <v>40205396.079999998</v>
      </c>
      <c r="E13" s="163">
        <v>25280462.780000001</v>
      </c>
      <c r="F13" s="163">
        <v>142062.24000000002</v>
      </c>
      <c r="G13" s="92">
        <v>-0.13792876216744687</v>
      </c>
      <c r="H13" s="92">
        <v>-0.19680916512010749</v>
      </c>
      <c r="I13" s="117">
        <v>-0.50739594865736126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23155082.189999998</v>
      </c>
      <c r="E14" s="165">
        <v>14209654.98</v>
      </c>
      <c r="F14" s="165">
        <v>142062.24000000002</v>
      </c>
      <c r="G14" s="95">
        <v>-6.469115342045173E-2</v>
      </c>
      <c r="H14" s="95">
        <v>-9.9626972860642482E-2</v>
      </c>
      <c r="I14" s="121">
        <v>-0.50739594865736126</v>
      </c>
    </row>
    <row r="15" spans="2:11">
      <c r="B15" s="29"/>
      <c r="C15" s="120" t="str">
        <f>+IF(Índice!$D$2=1,"Transferências capital","Capital transfers")</f>
        <v>Capital transfers</v>
      </c>
      <c r="D15" s="165">
        <v>17050313.890000001</v>
      </c>
      <c r="E15" s="165">
        <v>11070807.800000001</v>
      </c>
      <c r="F15" s="165">
        <v>0</v>
      </c>
      <c r="G15" s="95">
        <v>-0.22078933823550106</v>
      </c>
      <c r="H15" s="95">
        <v>-0.29454182292614606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145647171.75</v>
      </c>
      <c r="E17" s="164">
        <v>120913828.31</v>
      </c>
      <c r="F17" s="164">
        <v>41351258.530000001</v>
      </c>
      <c r="G17" s="147">
        <v>-0.32194171265097615</v>
      </c>
      <c r="H17" s="147">
        <v>-0.3637993653560192</v>
      </c>
      <c r="I17" s="148">
        <v>9.8968017785592943E-2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88317387.889999986</v>
      </c>
      <c r="E19" s="164">
        <v>63596528.390000015</v>
      </c>
      <c r="F19" s="164">
        <v>5827099.8400000017</v>
      </c>
      <c r="G19" s="147">
        <v>-0.36505282601514244</v>
      </c>
      <c r="H19" s="147">
        <v>-0.44390308596743988</v>
      </c>
      <c r="I19" s="148">
        <v>0.37717980643068594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dezembro de 2024 (valores acumulados)","Table XIV - Accounts payable of the Regional Gov., december (accumulated)")</f>
        <v>Table XIV - Accounts payable of the Regional Gov., december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40" t="str">
        <f>+IF(Índice!$D$2=1,"Governo Regional","Regional Government")</f>
        <v>Regional Government</v>
      </c>
      <c r="D24" s="337" t="str">
        <f>+IF(Índice!$D$2=1,"dezembro 2024","december 2024")</f>
        <v>december 2024</v>
      </c>
      <c r="E24" s="337" t="str">
        <f>+IF(Índice!$D$2="PT","janeiro 2020","January")</f>
        <v>January</v>
      </c>
      <c r="F24" s="337" t="str">
        <f>+IF(Índice!$D$2="PT","janeiro 2020","January")</f>
        <v>January</v>
      </c>
      <c r="G24" s="344" t="str">
        <f>+IF(Índice!$D$2=1,"Variação face ao stock inicial de janeiro","Change from january initial stock")</f>
        <v>Change from january initial stock</v>
      </c>
      <c r="H24" s="345"/>
      <c r="I24" s="345"/>
    </row>
    <row r="25" spans="2:9" ht="22.5" customHeight="1">
      <c r="B25" s="29"/>
      <c r="C25" s="340"/>
      <c r="D25" s="352" t="str">
        <f>+IF(Índice!$D$2=1,"Stock final do período","Accumulated")</f>
        <v>Accumulated</v>
      </c>
      <c r="E25" s="352"/>
      <c r="F25" s="352"/>
      <c r="G25" s="349" t="str">
        <f>+IF(Índice!$D$2=1,"Passivo","Liabilities")</f>
        <v>Liabilities</v>
      </c>
      <c r="H25" s="349" t="str">
        <f>+IF(Índice!$D$2=1,"Contas a pagar","Accounts payable")</f>
        <v>Accounts payable</v>
      </c>
      <c r="I25" s="338" t="str">
        <f>+IF(Índice!$D$2=1,"Pagamentos em atraso","Late payments")</f>
        <v>Late payments</v>
      </c>
    </row>
    <row r="26" spans="2:9" ht="22.5">
      <c r="B26" s="29"/>
      <c r="C26" s="340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50"/>
      <c r="H26" s="350"/>
      <c r="I26" s="339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8014884.2000000002</v>
      </c>
      <c r="E27" s="162">
        <v>3985036.3900000006</v>
      </c>
      <c r="F27" s="162">
        <v>1048053.34</v>
      </c>
      <c r="G27" s="91">
        <v>-0.33238868340670713</v>
      </c>
      <c r="H27" s="91">
        <v>-0.57006910799250443</v>
      </c>
      <c r="I27" s="116">
        <v>-6.3215685234925267E-3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27075474.48</v>
      </c>
      <c r="E28" s="163">
        <v>20867676.18</v>
      </c>
      <c r="F28" s="163">
        <v>630</v>
      </c>
      <c r="G28" s="92">
        <v>-0.18524270940215026</v>
      </c>
      <c r="H28" s="172">
        <v>-0.2209302169908105</v>
      </c>
      <c r="I28" s="117">
        <v>0</v>
      </c>
    </row>
    <row r="29" spans="2:9" ht="20.100000000000001" customHeight="1">
      <c r="B29" s="29"/>
      <c r="C29" s="146" t="s">
        <v>7</v>
      </c>
      <c r="D29" s="164">
        <v>35090358.68</v>
      </c>
      <c r="E29" s="164">
        <v>24852712.57</v>
      </c>
      <c r="F29" s="164">
        <v>1048683.3399999999</v>
      </c>
      <c r="G29" s="147">
        <v>-0.22429364885096781</v>
      </c>
      <c r="H29" s="147">
        <v>-0.31068832782890021</v>
      </c>
      <c r="I29" s="148">
        <v>-6.3177948133134043E-3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dezembro de 2024 (valores acumulados)","Table XV - Accounts payable of the ASFs, december (accumulated)")</f>
        <v>Table XV - Accounts payable of the ASFs, december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1" t="str">
        <f>+IF(Índice!$D$2=1,"Serviços e Fundos Autónomos","Autonomous Services and Funds")</f>
        <v>Autonomous Services and Funds</v>
      </c>
      <c r="D33" s="337" t="str">
        <f>+IF(Índice!$D$2=1,"dezembro 2024","december 2024")</f>
        <v>december 2024</v>
      </c>
      <c r="E33" s="337" t="str">
        <f>+IF(Índice!$D$2="PT","janeiro 2020","January")</f>
        <v>January</v>
      </c>
      <c r="F33" s="337" t="str">
        <f>+IF(Índice!$D$2="PT","janeiro 2020","January")</f>
        <v>January</v>
      </c>
      <c r="G33" s="344" t="str">
        <f>+IF(Índice!$D$2=1,"Variação face ao stock inicial de janeiro","Change from january initial stock")</f>
        <v>Change from january initial stock</v>
      </c>
      <c r="H33" s="345"/>
      <c r="I33" s="345"/>
    </row>
    <row r="34" spans="2:9" ht="12.75" customHeight="1">
      <c r="C34" s="342"/>
      <c r="D34" s="346" t="str">
        <f>+IF(Índice!$D$2=1,"Stock final do período","Accumulated")</f>
        <v>Accumulated</v>
      </c>
      <c r="E34" s="347"/>
      <c r="F34" s="348"/>
      <c r="G34" s="351" t="str">
        <f>+IF(Índice!$D$2=1,"Passivo","Liabilities")</f>
        <v>Liabilities</v>
      </c>
      <c r="H34" s="351" t="str">
        <f>+IF(Índice!$D$2=1,"Contas a pagar","Accounts payable")</f>
        <v>Accounts payable</v>
      </c>
      <c r="I34" s="338" t="str">
        <f>+IF(Índice!$D$2=1,"Pagamentos em atraso","Late payments")</f>
        <v>Late payments</v>
      </c>
    </row>
    <row r="35" spans="2:9" ht="22.5">
      <c r="C35" s="343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50"/>
      <c r="H35" s="350"/>
      <c r="I35" s="339"/>
    </row>
    <row r="36" spans="2:9" ht="20.100000000000001" customHeight="1">
      <c r="C36" s="115" t="str">
        <f>+IF(Índice!$D$2=1,"Despesa corrente","Current expenditure")</f>
        <v>Current expenditure</v>
      </c>
      <c r="D36" s="162">
        <v>38454444.390000015</v>
      </c>
      <c r="E36" s="162">
        <v>36947518.20000001</v>
      </c>
      <c r="F36" s="162">
        <v>4778416.5</v>
      </c>
      <c r="G36" s="91">
        <v>-0.49121598236156605</v>
      </c>
      <c r="H36" s="91">
        <v>-0.49399074316495983</v>
      </c>
      <c r="I36" s="116">
        <v>0.54481219142536386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147901.53</v>
      </c>
      <c r="E37" s="163">
        <v>147901.53</v>
      </c>
      <c r="F37" s="163">
        <v>0</v>
      </c>
      <c r="G37" s="92">
        <v>-0.60532507828172011</v>
      </c>
      <c r="H37" s="92">
        <v>-0.60532507828172011</v>
      </c>
      <c r="I37" s="117">
        <v>-1</v>
      </c>
    </row>
    <row r="38" spans="2:9" ht="20.100000000000001" customHeight="1">
      <c r="C38" s="146" t="s">
        <v>7</v>
      </c>
      <c r="D38" s="164">
        <v>38602345.920000017</v>
      </c>
      <c r="E38" s="164">
        <v>37095419.730000012</v>
      </c>
      <c r="F38" s="164">
        <v>4778416.5</v>
      </c>
      <c r="G38" s="147">
        <v>-0.49177896155012746</v>
      </c>
      <c r="H38" s="147">
        <v>-0.49455921930983504</v>
      </c>
      <c r="I38" s="148">
        <v>0.50461869016688388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dezembro de 2024 (valores acumulados)","Table XVI - Accounts payable of the RPEs, december (accumulated)")</f>
        <v>Table XVI - Accounts payable of the RPEs, december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1" t="str">
        <f>+IF(Índice!$D$2=1,"Entidades Públicas Reclassseicadas","Reclassseied Public Entities")</f>
        <v>Reclassseied Public Entities</v>
      </c>
      <c r="D42" s="337" t="str">
        <f>+IF(Índice!$D$2=1,"dezembro 2024","december 2024")</f>
        <v>december 2024</v>
      </c>
      <c r="E42" s="337" t="str">
        <f>+IF(Índice!$D$2="PT","janeiro 2020","January")</f>
        <v>January</v>
      </c>
      <c r="F42" s="337" t="str">
        <f>+IF(Índice!$D$2="PT","janeiro 2020","January")</f>
        <v>January</v>
      </c>
      <c r="G42" s="344" t="str">
        <f>+IF(Índice!$D$2=1,"Variação face ao stock inicial de janeiro","Change from january initial stock")</f>
        <v>Change from january initial stock</v>
      </c>
      <c r="H42" s="345"/>
      <c r="I42" s="345"/>
    </row>
    <row r="43" spans="2:9" ht="12.75" customHeight="1">
      <c r="C43" s="342"/>
      <c r="D43" s="346" t="str">
        <f>+IF(Índice!$D$2=1,"Stock final do período","Accumulated")</f>
        <v>Accumulated</v>
      </c>
      <c r="E43" s="347"/>
      <c r="F43" s="348"/>
      <c r="G43" s="349" t="str">
        <f>+IF(Índice!$D$2=1,"Passivo","Liabilities")</f>
        <v>Liabilities</v>
      </c>
      <c r="H43" s="349" t="str">
        <f>+IF(Índice!$D$2=1,"Contas a pagar","Accounts payable")</f>
        <v>Accounts payable</v>
      </c>
      <c r="I43" s="338" t="str">
        <f>+IF(Índice!$D$2=1,"Pagamentos em atraso","Late payments")</f>
        <v>Late payments</v>
      </c>
    </row>
    <row r="44" spans="2:9" ht="22.5">
      <c r="C44" s="343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50"/>
      <c r="H44" s="350"/>
      <c r="I44" s="339"/>
    </row>
    <row r="45" spans="2:9" ht="20.100000000000001" customHeight="1">
      <c r="C45" s="115" t="str">
        <f>+IF(Índice!$D$2=1,"Despesa corrente","Current expenditure")</f>
        <v>Current expenditure</v>
      </c>
      <c r="D45" s="162">
        <v>58972447.079999991</v>
      </c>
      <c r="E45" s="162">
        <v>54700810.93999999</v>
      </c>
      <c r="F45" s="162">
        <v>35382726.449999996</v>
      </c>
      <c r="G45" s="91">
        <v>-0.2681125535326716</v>
      </c>
      <c r="H45" s="91">
        <v>-0.28303165091144178</v>
      </c>
      <c r="I45" s="116">
        <v>6.6032455897820475E-2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12982020.07</v>
      </c>
      <c r="E46" s="163">
        <v>4264885.07</v>
      </c>
      <c r="F46" s="163">
        <v>141432.24000000002</v>
      </c>
      <c r="G46" s="92">
        <v>-3.8394800101075877E-3</v>
      </c>
      <c r="H46" s="92">
        <v>-1.1596113921324425E-2</v>
      </c>
      <c r="I46" s="117">
        <v>-0.31052497209944507</v>
      </c>
    </row>
    <row r="47" spans="2:9" ht="20.100000000000001" customHeight="1">
      <c r="C47" s="146" t="s">
        <v>7</v>
      </c>
      <c r="D47" s="164">
        <v>71954467.149999991</v>
      </c>
      <c r="E47" s="164">
        <v>58965696.00999999</v>
      </c>
      <c r="F47" s="164">
        <v>35524158.689999998</v>
      </c>
      <c r="G47" s="147">
        <v>-0.23132055559016895</v>
      </c>
      <c r="H47" s="147">
        <v>-0.26850206390545961</v>
      </c>
      <c r="I47" s="148">
        <v>6.371951559718414E-2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3"/>
  <sheetViews>
    <sheetView showGridLines="0" topLeftCell="A71" zoomScale="85" zoomScaleNormal="85" workbookViewId="0">
      <selection activeCell="J88" sqref="J88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64</v>
      </c>
      <c r="D10" s="170"/>
      <c r="E10" s="169"/>
    </row>
    <row r="11" spans="2:5">
      <c r="B11" s="195"/>
      <c r="C11" s="170" t="s">
        <v>78</v>
      </c>
      <c r="D11" s="170"/>
      <c r="E11" s="169"/>
    </row>
    <row r="12" spans="2:5">
      <c r="B12" s="195"/>
      <c r="C12" s="170" t="s">
        <v>65</v>
      </c>
      <c r="D12" s="170"/>
      <c r="E12" s="169"/>
    </row>
    <row r="13" spans="2:5">
      <c r="B13" s="195"/>
      <c r="C13" s="170" t="s">
        <v>66</v>
      </c>
      <c r="D13" s="170"/>
      <c r="E13" s="169"/>
    </row>
    <row r="14" spans="2:5">
      <c r="B14" s="195"/>
      <c r="C14" s="170" t="s">
        <v>67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54</v>
      </c>
      <c r="D16" s="170"/>
      <c r="E16" s="169"/>
    </row>
    <row r="17" spans="2:5">
      <c r="B17" s="195"/>
      <c r="C17" s="170" t="s">
        <v>68</v>
      </c>
      <c r="D17" s="171"/>
      <c r="E17" s="169"/>
    </row>
    <row r="18" spans="2:5">
      <c r="B18" s="195"/>
      <c r="C18" s="170" t="s">
        <v>86</v>
      </c>
      <c r="D18" s="170"/>
      <c r="E18" s="169"/>
    </row>
    <row r="19" spans="2:5">
      <c r="B19" s="195"/>
      <c r="C19" s="170" t="s">
        <v>83</v>
      </c>
      <c r="D19" s="170"/>
      <c r="E19" s="169"/>
    </row>
    <row r="20" spans="2:5">
      <c r="B20" s="195"/>
      <c r="C20" s="170" t="s">
        <v>20</v>
      </c>
      <c r="D20" s="170"/>
      <c r="E20" s="169"/>
    </row>
    <row r="21" spans="2:5">
      <c r="B21" s="195"/>
      <c r="C21" s="170" t="s">
        <v>87</v>
      </c>
      <c r="D21" s="170"/>
      <c r="E21" s="169"/>
    </row>
    <row r="22" spans="2:5">
      <c r="B22" s="195"/>
      <c r="C22" s="170" t="s">
        <v>55</v>
      </c>
      <c r="D22" s="170"/>
      <c r="E22" s="169"/>
    </row>
    <row r="23" spans="2:5">
      <c r="B23" s="195"/>
      <c r="C23" s="170" t="s">
        <v>69</v>
      </c>
      <c r="D23" s="170"/>
      <c r="E23" s="169"/>
    </row>
    <row r="24" spans="2:5">
      <c r="B24" s="195"/>
      <c r="C24" s="170" t="s">
        <v>70</v>
      </c>
      <c r="D24" s="170"/>
      <c r="E24" s="169"/>
    </row>
    <row r="25" spans="2:5">
      <c r="B25" s="195"/>
      <c r="C25" s="170" t="s">
        <v>88</v>
      </c>
      <c r="D25" s="170"/>
      <c r="E25" s="169"/>
    </row>
    <row r="26" spans="2:5">
      <c r="B26" s="195"/>
      <c r="C26" s="170" t="s">
        <v>71</v>
      </c>
      <c r="D26" s="170"/>
      <c r="E26" s="169"/>
    </row>
    <row r="27" spans="2:5">
      <c r="B27" s="195"/>
      <c r="C27" s="170" t="s">
        <v>72</v>
      </c>
      <c r="D27" s="170"/>
      <c r="E27" s="169"/>
    </row>
    <row r="28" spans="2:5">
      <c r="B28" s="195"/>
      <c r="C28" s="170" t="s">
        <v>56</v>
      </c>
      <c r="D28" s="170"/>
      <c r="E28" s="169"/>
    </row>
    <row r="29" spans="2:5">
      <c r="B29" s="55"/>
      <c r="C29" s="170" t="s">
        <v>84</v>
      </c>
      <c r="D29" s="170"/>
      <c r="E29" s="169"/>
    </row>
    <row r="30" spans="2:5">
      <c r="B30" s="55"/>
      <c r="C30" s="170" t="s">
        <v>57</v>
      </c>
      <c r="D30" s="170"/>
      <c r="E30" s="169"/>
    </row>
    <row r="31" spans="2:5">
      <c r="B31" s="55"/>
      <c r="C31" s="170" t="s">
        <v>73</v>
      </c>
      <c r="D31" s="170"/>
      <c r="E31" s="169"/>
    </row>
    <row r="32" spans="2:5">
      <c r="B32" s="55"/>
      <c r="C32" s="170" t="s">
        <v>98</v>
      </c>
      <c r="D32" s="170"/>
      <c r="E32" s="169"/>
    </row>
    <row r="33" spans="2:5">
      <c r="B33" s="55"/>
      <c r="C33" s="170" t="s">
        <v>74</v>
      </c>
      <c r="D33" s="170"/>
      <c r="E33" s="169"/>
    </row>
    <row r="34" spans="2:5">
      <c r="B34" s="55"/>
      <c r="C34" s="170" t="s">
        <v>58</v>
      </c>
      <c r="D34" s="170"/>
      <c r="E34" s="169"/>
    </row>
    <row r="35" spans="2:5">
      <c r="B35" s="55"/>
      <c r="C35" s="170" t="s">
        <v>75</v>
      </c>
      <c r="D35" s="170"/>
      <c r="E35" s="169"/>
    </row>
    <row r="36" spans="2:5">
      <c r="B36" s="55"/>
      <c r="C36" s="170" t="s">
        <v>59</v>
      </c>
      <c r="D36" s="170"/>
      <c r="E36" s="169"/>
    </row>
    <row r="37" spans="2:5">
      <c r="B37" s="55"/>
      <c r="C37" s="171" t="s">
        <v>23</v>
      </c>
      <c r="D37" s="170"/>
      <c r="E37" s="169"/>
    </row>
    <row r="38" spans="2:5">
      <c r="B38" s="55"/>
      <c r="C38" s="170" t="s">
        <v>60</v>
      </c>
      <c r="D38" s="170"/>
      <c r="E38" s="169"/>
    </row>
    <row r="39" spans="2:5">
      <c r="B39" s="55"/>
      <c r="C39" s="170" t="s">
        <v>61</v>
      </c>
      <c r="D39" s="170"/>
      <c r="E39" s="169"/>
    </row>
    <row r="40" spans="2:5">
      <c r="B40" s="55"/>
      <c r="C40" s="170" t="s">
        <v>50</v>
      </c>
      <c r="D40" s="170"/>
      <c r="E40" s="169"/>
    </row>
    <row r="41" spans="2:5">
      <c r="B41" s="55"/>
      <c r="C41" s="170" t="s">
        <v>24</v>
      </c>
      <c r="D41" s="170"/>
      <c r="E41" s="169"/>
    </row>
    <row r="42" spans="2:5">
      <c r="B42" s="55"/>
      <c r="C42" s="170" t="s">
        <v>62</v>
      </c>
      <c r="D42" s="170"/>
      <c r="E42" s="169"/>
    </row>
    <row r="43" spans="2:5">
      <c r="B43" s="55"/>
      <c r="C43" s="170" t="s">
        <v>25</v>
      </c>
      <c r="D43" s="171"/>
      <c r="E43" s="169"/>
    </row>
    <row r="44" spans="2:5">
      <c r="B44" s="55"/>
      <c r="C44" s="170" t="s">
        <v>26</v>
      </c>
      <c r="D44" s="170"/>
      <c r="E44" s="169"/>
    </row>
    <row r="45" spans="2:5">
      <c r="B45" s="55"/>
      <c r="C45" s="170" t="s">
        <v>51</v>
      </c>
      <c r="D45" s="171"/>
      <c r="E45" s="169"/>
    </row>
    <row r="46" spans="2:5">
      <c r="B46" s="55"/>
      <c r="C46" s="171" t="s">
        <v>27</v>
      </c>
      <c r="D46" s="170"/>
      <c r="E46" s="169"/>
    </row>
    <row r="47" spans="2:5">
      <c r="B47" s="55"/>
      <c r="C47" s="170" t="s">
        <v>93</v>
      </c>
      <c r="D47" s="170"/>
      <c r="E47" s="169"/>
    </row>
    <row r="48" spans="2:5">
      <c r="B48" s="55"/>
      <c r="C48" s="170" t="s">
        <v>85</v>
      </c>
      <c r="D48" s="170"/>
      <c r="E48" s="169"/>
    </row>
    <row r="49" spans="2:5">
      <c r="B49" s="55"/>
      <c r="C49" s="170" t="s">
        <v>28</v>
      </c>
      <c r="D49" s="170"/>
      <c r="E49" s="169"/>
    </row>
    <row r="50" spans="2:5">
      <c r="B50" s="55"/>
      <c r="C50" s="171" t="s">
        <v>90</v>
      </c>
      <c r="D50" s="171"/>
      <c r="E50" s="169"/>
    </row>
    <row r="51" spans="2:5">
      <c r="B51" s="55"/>
      <c r="C51" s="170" t="s">
        <v>29</v>
      </c>
      <c r="D51" s="170"/>
      <c r="E51" s="169"/>
    </row>
    <row r="52" spans="2:5">
      <c r="B52" s="55"/>
      <c r="C52" s="170" t="s">
        <v>76</v>
      </c>
      <c r="D52" s="170"/>
      <c r="E52" s="169"/>
    </row>
    <row r="53" spans="2:5">
      <c r="B53" s="55"/>
      <c r="C53" s="170" t="s">
        <v>30</v>
      </c>
      <c r="D53" s="170"/>
      <c r="E53" s="169"/>
    </row>
    <row r="54" spans="2:5">
      <c r="B54" s="55"/>
      <c r="C54" s="170" t="s">
        <v>31</v>
      </c>
      <c r="D54" s="171"/>
      <c r="E54" s="169"/>
    </row>
    <row r="55" spans="2:5">
      <c r="B55" s="55"/>
      <c r="C55" s="170" t="s">
        <v>22</v>
      </c>
    </row>
    <row r="56" spans="2:5">
      <c r="B56" s="55"/>
      <c r="C56" s="170" t="s">
        <v>89</v>
      </c>
    </row>
    <row r="57" spans="2:5">
      <c r="B57" s="55"/>
      <c r="C57" s="171" t="s">
        <v>91</v>
      </c>
    </row>
    <row r="58" spans="2:5">
      <c r="B58" s="55"/>
      <c r="C58" s="170" t="s">
        <v>94</v>
      </c>
    </row>
    <row r="59" spans="2:5">
      <c r="B59" s="55"/>
      <c r="C59" s="170" t="s">
        <v>95</v>
      </c>
    </row>
    <row r="60" spans="2:5">
      <c r="B60" s="55"/>
      <c r="C60" s="170" t="s">
        <v>53</v>
      </c>
    </row>
    <row r="61" spans="2:5">
      <c r="B61" s="55"/>
      <c r="C61" s="170" t="s">
        <v>52</v>
      </c>
    </row>
    <row r="62" spans="2:5">
      <c r="B62" s="55"/>
      <c r="C62" s="171" t="s">
        <v>33</v>
      </c>
    </row>
    <row r="63" spans="2:5">
      <c r="B63" s="55"/>
      <c r="C63" s="170" t="s">
        <v>77</v>
      </c>
    </row>
    <row r="64" spans="2:5">
      <c r="B64" s="55"/>
      <c r="C64" s="170" t="s">
        <v>34</v>
      </c>
    </row>
    <row r="65" spans="2:3">
      <c r="B65" s="55"/>
      <c r="C65" s="170" t="s">
        <v>35</v>
      </c>
    </row>
    <row r="66" spans="2:3">
      <c r="B66" s="55"/>
      <c r="C66" s="170" t="s">
        <v>36</v>
      </c>
    </row>
    <row r="67" spans="2:3">
      <c r="B67" s="55"/>
      <c r="C67" s="171" t="s">
        <v>92</v>
      </c>
    </row>
    <row r="68" spans="2:3">
      <c r="B68" s="55"/>
      <c r="C68" s="170" t="s">
        <v>94</v>
      </c>
    </row>
    <row r="69" spans="2:3">
      <c r="B69" s="55"/>
      <c r="C69" s="170" t="s">
        <v>79</v>
      </c>
    </row>
    <row r="70" spans="2:3">
      <c r="B70" s="55"/>
      <c r="C70" s="170" t="s">
        <v>32</v>
      </c>
    </row>
    <row r="71" spans="2:3">
      <c r="B71" s="55"/>
      <c r="C71" s="290" t="s">
        <v>21</v>
      </c>
    </row>
    <row r="72" spans="2:3">
      <c r="B72" s="55"/>
      <c r="C72" s="170"/>
    </row>
    <row r="73" spans="2:3" hidden="1">
      <c r="B73" s="55"/>
      <c r="C73" s="170"/>
    </row>
    <row r="74" spans="2:3" ht="13.5" hidden="1" customHeight="1">
      <c r="B74" s="55"/>
      <c r="C74" s="170"/>
    </row>
    <row r="75" spans="2:3" ht="13.5" hidden="1" customHeight="1">
      <c r="B75" s="55"/>
      <c r="C75" s="170"/>
    </row>
    <row r="76" spans="2:3" ht="13.5" hidden="1" customHeight="1">
      <c r="B76" s="55"/>
      <c r="C76" s="170"/>
    </row>
    <row r="77" spans="2:3" ht="13.5" hidden="1" customHeight="1">
      <c r="B77" s="55"/>
    </row>
    <row r="78" spans="2:3" ht="13.5" hidden="1" customHeight="1">
      <c r="B78" s="55"/>
      <c r="C78" s="170"/>
    </row>
    <row r="79" spans="2:3" hidden="1">
      <c r="B79" s="55"/>
      <c r="C79" s="170"/>
    </row>
    <row r="80" spans="2:3" hidden="1">
      <c r="B80" s="55"/>
      <c r="C80" s="322"/>
    </row>
    <row r="81" spans="2:3" hidden="1">
      <c r="B81" s="55"/>
      <c r="C81" s="322"/>
    </row>
    <row r="82" spans="2:3">
      <c r="B82" s="55"/>
      <c r="C82" s="322"/>
    </row>
    <row r="83" spans="2:3">
      <c r="B83" s="55"/>
      <c r="C83" s="275"/>
    </row>
    <row r="84" spans="2:3" ht="30.75" customHeight="1">
      <c r="B84" s="16"/>
      <c r="C84" s="321" t="s">
        <v>11</v>
      </c>
    </row>
    <row r="85" spans="2:3">
      <c r="B85" s="55"/>
      <c r="C85" s="289" t="s">
        <v>13</v>
      </c>
    </row>
    <row r="86" spans="2:3">
      <c r="B86" s="55"/>
      <c r="C86" s="170" t="s">
        <v>13</v>
      </c>
    </row>
    <row r="87" spans="2:3">
      <c r="B87" s="55"/>
      <c r="C87" s="171" t="s">
        <v>17</v>
      </c>
    </row>
    <row r="88" spans="2:3">
      <c r="B88" s="55"/>
      <c r="C88" s="170" t="s">
        <v>97</v>
      </c>
    </row>
    <row r="89" spans="2:3">
      <c r="B89" s="55"/>
      <c r="C89" s="170" t="s">
        <v>37</v>
      </c>
    </row>
    <row r="90" spans="2:3">
      <c r="B90" s="55"/>
      <c r="C90" s="170" t="s">
        <v>38</v>
      </c>
    </row>
    <row r="91" spans="2:3">
      <c r="B91" s="55"/>
      <c r="C91" s="170" t="s">
        <v>82</v>
      </c>
    </row>
    <row r="92" spans="2:3">
      <c r="B92" s="55"/>
      <c r="C92" s="171" t="s">
        <v>23</v>
      </c>
    </row>
    <row r="93" spans="2:3">
      <c r="B93" s="55"/>
      <c r="C93" s="170" t="s">
        <v>39</v>
      </c>
    </row>
    <row r="94" spans="2:3">
      <c r="B94" s="55"/>
      <c r="C94" s="170" t="s">
        <v>41</v>
      </c>
    </row>
    <row r="95" spans="2:3">
      <c r="B95" s="55"/>
      <c r="C95" s="170" t="s">
        <v>42</v>
      </c>
    </row>
    <row r="96" spans="2:3">
      <c r="B96" s="55"/>
      <c r="C96" s="170" t="s">
        <v>63</v>
      </c>
    </row>
    <row r="97" spans="2:3">
      <c r="B97" s="55"/>
      <c r="C97" s="171" t="s">
        <v>27</v>
      </c>
    </row>
    <row r="98" spans="2:3">
      <c r="B98" s="55"/>
      <c r="C98" s="170" t="s">
        <v>43</v>
      </c>
    </row>
    <row r="99" spans="2:3">
      <c r="B99" s="55"/>
      <c r="C99" s="171" t="s">
        <v>91</v>
      </c>
    </row>
    <row r="100" spans="2:3">
      <c r="B100" s="55"/>
      <c r="C100" s="170" t="s">
        <v>80</v>
      </c>
    </row>
    <row r="101" spans="2:3">
      <c r="B101" s="55"/>
      <c r="C101" s="171" t="s">
        <v>91</v>
      </c>
    </row>
    <row r="102" spans="2:3">
      <c r="B102" s="55"/>
      <c r="C102" s="170" t="s">
        <v>96</v>
      </c>
    </row>
    <row r="103" spans="2:3">
      <c r="B103" s="55"/>
      <c r="C103" s="170" t="s">
        <v>81</v>
      </c>
    </row>
    <row r="104" spans="2:3">
      <c r="B104" s="55"/>
      <c r="C104" s="171" t="s">
        <v>33</v>
      </c>
    </row>
    <row r="105" spans="2:3">
      <c r="B105" s="55"/>
      <c r="C105" s="170" t="s">
        <v>40</v>
      </c>
    </row>
    <row r="106" spans="2:3">
      <c r="B106" s="55"/>
      <c r="C106" s="170" t="s">
        <v>45</v>
      </c>
    </row>
    <row r="107" spans="2:3">
      <c r="B107" s="55"/>
      <c r="C107" s="170" t="s">
        <v>46</v>
      </c>
    </row>
    <row r="108" spans="2:3">
      <c r="B108" s="55"/>
      <c r="C108" s="170" t="s">
        <v>47</v>
      </c>
    </row>
    <row r="109" spans="2:3">
      <c r="B109" s="55"/>
      <c r="C109" s="170" t="s">
        <v>48</v>
      </c>
    </row>
    <row r="110" spans="2:3">
      <c r="B110" s="55"/>
      <c r="C110" s="170" t="s">
        <v>49</v>
      </c>
    </row>
    <row r="111" spans="2:3">
      <c r="B111" s="55"/>
      <c r="C111" s="171" t="s">
        <v>92</v>
      </c>
    </row>
    <row r="112" spans="2:3">
      <c r="B112" s="55"/>
      <c r="C112" s="170" t="s">
        <v>44</v>
      </c>
    </row>
    <row r="113" spans="3:3">
      <c r="C113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H5" sqref="H5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(january-december)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(january-december)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(december)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(january-december)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(january-december)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(january-december)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(january-december)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(january-december)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(january-december)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(january-december)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(january-december)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(december)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Table XIII- Accounts payable of the Regional Administration, december (accumulated)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Table XIV - Accounts payable of the Regional Gov., december (accumulated)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Table XV - Accounts payable of the ASFs, december (accumulated)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Table XVI - Accounts payable of the RPEs, december (accumulated)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'!C84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3"/>
      <c r="B22" s="323"/>
      <c r="C22" s="323"/>
      <c r="D22" s="323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J25" sqref="J25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(janeiro-dezembro)","TABLE I - Consolidated budget execution (january-december)")</f>
        <v>TABLE I - Consolidated budget execution (january-december)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2024","Consolidated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1594253.1881900001</v>
      </c>
      <c r="E5" s="57">
        <v>622627.51778000046</v>
      </c>
      <c r="F5" s="57">
        <v>462298.03522999992</v>
      </c>
      <c r="G5" s="57">
        <v>1720451.7972400005</v>
      </c>
      <c r="H5" s="57">
        <v>11.921769360298962</v>
      </c>
    </row>
    <row r="6" spans="1:10" ht="11.25" customHeight="1">
      <c r="C6" s="68" t="str">
        <f>+IF(Índice!$D$2=1,"Impostos diretos","Direct taxes")</f>
        <v>Direct taxes</v>
      </c>
      <c r="D6" s="56">
        <v>511094.40986000001</v>
      </c>
      <c r="E6" s="56">
        <v>0</v>
      </c>
      <c r="F6" s="56">
        <v>0</v>
      </c>
      <c r="G6" s="56">
        <v>511094.40986000001</v>
      </c>
      <c r="H6" s="56">
        <v>4.6347089696471722</v>
      </c>
    </row>
    <row r="7" spans="1:10">
      <c r="C7" s="68" t="str">
        <f>+IF(Índice!$D$2=1,"Impostos indiretos","Indirect taxes")</f>
        <v>Indirect taxes</v>
      </c>
      <c r="D7" s="56">
        <v>803771.38150000002</v>
      </c>
      <c r="E7" s="56">
        <v>0</v>
      </c>
      <c r="F7" s="56">
        <v>0</v>
      </c>
      <c r="G7" s="56">
        <v>803771.38150000002</v>
      </c>
      <c r="H7" s="56">
        <v>12.743226844691646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279387.39682999998</v>
      </c>
      <c r="E9" s="56">
        <v>622627.51778000046</v>
      </c>
      <c r="F9" s="56">
        <v>462298.03522999992</v>
      </c>
      <c r="G9" s="56">
        <v>385921.01001000032</v>
      </c>
      <c r="H9" s="56">
        <v>14.921277669294675</v>
      </c>
    </row>
    <row r="10" spans="1:10">
      <c r="C10" s="69" t="str">
        <f>+IF(Índice!$D$2=1,"Transferências correntes","Current transfers")</f>
        <v>Current transfers</v>
      </c>
      <c r="D10" s="56">
        <v>217938.40501999998</v>
      </c>
      <c r="E10" s="56">
        <v>611270.26507000043</v>
      </c>
      <c r="F10" s="56">
        <v>414335.47221999994</v>
      </c>
      <c r="G10" s="56">
        <v>265163.00988000026</v>
      </c>
      <c r="H10" s="56">
        <v>10.790717533209904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210716.62900000002</v>
      </c>
      <c r="E11" s="56">
        <v>1920.3033999999998</v>
      </c>
      <c r="F11" s="56">
        <v>10.290649999999999</v>
      </c>
      <c r="G11" s="56">
        <v>212647.22305000003</v>
      </c>
      <c r="H11" s="56">
        <v>8.0206176316132591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28.993269999999999</v>
      </c>
      <c r="E12" s="56">
        <v>568546.80906999996</v>
      </c>
      <c r="F12" s="56">
        <v>409805.33009000006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19664.995869999933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148915.12638999999</v>
      </c>
      <c r="E14" s="57">
        <v>8945.0524299999979</v>
      </c>
      <c r="F14" s="57">
        <v>81340.447849999997</v>
      </c>
      <c r="G14" s="57">
        <v>210812.71093999996</v>
      </c>
      <c r="H14" s="57">
        <v>67.233178391407435</v>
      </c>
    </row>
    <row r="15" spans="1:10">
      <c r="C15" s="68" t="str">
        <f>+IF(Índice!$D$2=1,"Venda de bens de investimento","Sale of investment goods")</f>
        <v>Sale of investment goods</v>
      </c>
      <c r="D15" s="56">
        <v>1716.9569399999998</v>
      </c>
      <c r="E15" s="56">
        <v>0</v>
      </c>
      <c r="F15" s="56">
        <v>1279.39903</v>
      </c>
      <c r="G15" s="56">
        <v>2996.3559699999996</v>
      </c>
      <c r="H15" s="56">
        <v>-63.980123020434412</v>
      </c>
    </row>
    <row r="16" spans="1:10" ht="11.25" customHeight="1">
      <c r="C16" s="68" t="str">
        <f>+IF(Índice!$D$2=1,"Transferências capital","Capital transfers")</f>
        <v>Capital transfers</v>
      </c>
      <c r="D16" s="56">
        <v>139765.43617999999</v>
      </c>
      <c r="E16" s="56">
        <v>8885.3798899999983</v>
      </c>
      <c r="F16" s="56">
        <v>77701.853739999991</v>
      </c>
      <c r="G16" s="56">
        <v>197964.75407999998</v>
      </c>
      <c r="H16" s="56">
        <v>76.516262557674651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123766.92288000001</v>
      </c>
      <c r="E17" s="56">
        <v>165.66876000000002</v>
      </c>
      <c r="F17" s="56">
        <v>0</v>
      </c>
      <c r="G17" s="56">
        <v>123932.59164000001</v>
      </c>
      <c r="H17" s="56">
        <v>95.956086395653955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155</v>
      </c>
      <c r="E18" s="56">
        <v>2551.4650200000001</v>
      </c>
      <c r="F18" s="56">
        <v>25681.450709999997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1743168.31458</v>
      </c>
      <c r="E20" s="57">
        <v>631572.5702100005</v>
      </c>
      <c r="F20" s="57">
        <v>543638.48307999992</v>
      </c>
      <c r="G20" s="57">
        <v>1931264.5081800004</v>
      </c>
      <c r="H20" s="57">
        <v>16.113867113305382</v>
      </c>
    </row>
    <row r="21" spans="3:8" ht="20.25" customHeight="1">
      <c r="C21" s="220" t="str">
        <f>+IF(Índice!$D$2=1,"Despesa corrente","Current expenditure")</f>
        <v>Current expenditure</v>
      </c>
      <c r="D21" s="220">
        <v>1471234.0871299983</v>
      </c>
      <c r="E21" s="220">
        <v>616920.81529000006</v>
      </c>
      <c r="F21" s="220">
        <v>446416.93157000002</v>
      </c>
      <c r="G21" s="220">
        <v>1575844.8900299985</v>
      </c>
      <c r="H21" s="220">
        <v>9.1607604812592882</v>
      </c>
    </row>
    <row r="22" spans="3:8" ht="10.5" customHeight="1">
      <c r="C22" s="68" t="str">
        <f>+IF(Índice!$D$2=1,"Consumo público","Public consumption")</f>
        <v>Public consumption</v>
      </c>
      <c r="D22" s="56">
        <v>648649.80953999958</v>
      </c>
      <c r="E22" s="56">
        <v>170797.46428000001</v>
      </c>
      <c r="F22" s="56">
        <v>431380.09045000002</v>
      </c>
      <c r="G22" s="56">
        <v>1250827.3642699996</v>
      </c>
      <c r="H22" s="56">
        <v>11.308728304090732</v>
      </c>
    </row>
    <row r="23" spans="3:8">
      <c r="C23" s="69" t="str">
        <f>+IF(Índice!$D$2=1,"Despesas com o pessoal","Compensation of employees")</f>
        <v>Compensation of employees</v>
      </c>
      <c r="D23" s="56">
        <v>479950.12167999969</v>
      </c>
      <c r="E23" s="56">
        <v>58670.850590000009</v>
      </c>
      <c r="F23" s="56">
        <v>273594.44794999994</v>
      </c>
      <c r="G23" s="56">
        <v>812215.42021999962</v>
      </c>
      <c r="H23" s="56">
        <v>6.8888744459519202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168699.68785999983</v>
      </c>
      <c r="E24" s="56">
        <v>112126.61369000001</v>
      </c>
      <c r="F24" s="56">
        <v>157785.6425000001</v>
      </c>
      <c r="G24" s="56">
        <v>438611.94404999993</v>
      </c>
      <c r="H24" s="56">
        <v>20.538523161909939</v>
      </c>
    </row>
    <row r="25" spans="3:8">
      <c r="C25" s="68" t="str">
        <f>+IF(Índice!$D$2=1,"Subsídios","Subsidies")</f>
        <v>Subsidies</v>
      </c>
      <c r="D25" s="56">
        <v>33241.758239999988</v>
      </c>
      <c r="E25" s="56">
        <v>6308.1778900000008</v>
      </c>
      <c r="F25" s="56">
        <v>8.9929199999999998</v>
      </c>
      <c r="G25" s="56">
        <v>39548.121649999994</v>
      </c>
      <c r="H25" s="56">
        <v>36.485556508726646</v>
      </c>
    </row>
    <row r="26" spans="3:8">
      <c r="C26" s="68" t="str">
        <f>+IF(Índice!$D$2=1,"Juros e outros encargos","Interests and other charges")</f>
        <v>Interests and other charges</v>
      </c>
      <c r="D26" s="56">
        <v>133987.98672000002</v>
      </c>
      <c r="E26" s="56">
        <v>21.792149999999999</v>
      </c>
      <c r="F26" s="56">
        <v>1713.2697000000001</v>
      </c>
      <c r="G26" s="56">
        <v>135723.04857000001</v>
      </c>
      <c r="H26" s="56">
        <v>1.1203195564567059</v>
      </c>
    </row>
    <row r="27" spans="3:8">
      <c r="C27" s="68" t="str">
        <f>+IF(Índice!$D$2=1,"Transferências correntes","Current transfers")</f>
        <v>Current transfers</v>
      </c>
      <c r="D27" s="56">
        <v>655354.53262999863</v>
      </c>
      <c r="E27" s="56">
        <v>439793.38097000006</v>
      </c>
      <c r="F27" s="56">
        <v>13314.578500000001</v>
      </c>
      <c r="G27" s="56">
        <v>149746.35553999874</v>
      </c>
      <c r="H27" s="56">
        <v>6.1779785610201365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247.78399999999999</v>
      </c>
      <c r="E28" s="56">
        <v>3173.5061800000003</v>
      </c>
      <c r="F28" s="56">
        <v>0</v>
      </c>
      <c r="G28" s="56">
        <v>3421.2901800000004</v>
      </c>
      <c r="H28" s="56">
        <v>35.814674114824641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561574.94035000016</v>
      </c>
      <c r="E29" s="56">
        <v>397127.5560199999</v>
      </c>
      <c r="F29" s="56">
        <v>13.64019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163482.46597000002</v>
      </c>
      <c r="E31" s="57">
        <v>5042.0645300000006</v>
      </c>
      <c r="F31" s="57">
        <v>80561.317569999985</v>
      </c>
      <c r="G31" s="57">
        <v>220697.93234</v>
      </c>
      <c r="H31" s="57">
        <v>11.983443555407302</v>
      </c>
    </row>
    <row r="32" spans="3:8">
      <c r="C32" s="68" t="str">
        <f>+IF(Índice!$D$2=1,"Investimento","Investment")</f>
        <v>Investment</v>
      </c>
      <c r="D32" s="56">
        <v>108732.03923000001</v>
      </c>
      <c r="E32" s="56">
        <v>2279.6338300000016</v>
      </c>
      <c r="F32" s="56">
        <v>77412.889099999986</v>
      </c>
      <c r="G32" s="56">
        <v>188424.56216</v>
      </c>
      <c r="H32" s="56">
        <v>18.772369221923313</v>
      </c>
    </row>
    <row r="33" spans="3:8">
      <c r="C33" s="68" t="str">
        <f>+IF(Índice!$D$2=1,"Transferências capital","Capital transfers")</f>
        <v>Capital transfers</v>
      </c>
      <c r="D33" s="56">
        <v>54750.426739999995</v>
      </c>
      <c r="E33" s="56">
        <v>2762.430699999999</v>
      </c>
      <c r="F33" s="56">
        <v>3148.4284700000003</v>
      </c>
      <c r="G33" s="56">
        <v>26038.616169999987</v>
      </c>
      <c r="H33" s="56">
        <v>-30.121892925065264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12312.001459999999</v>
      </c>
      <c r="E34" s="56">
        <v>0.83492000000000011</v>
      </c>
      <c r="F34" s="56">
        <v>0</v>
      </c>
      <c r="G34" s="56">
        <v>12312.836379999999</v>
      </c>
      <c r="H34" s="56">
        <v>62.170962542286425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31867.669740000005</v>
      </c>
      <c r="E35" s="56">
        <v>0</v>
      </c>
      <c r="F35" s="56">
        <v>2755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1634716.553099998</v>
      </c>
      <c r="E38" s="86">
        <v>621962.87982000015</v>
      </c>
      <c r="F38" s="86">
        <v>526978.24913999997</v>
      </c>
      <c r="G38" s="86">
        <v>1796542.8223699986</v>
      </c>
      <c r="H38" s="86">
        <v>9.4998250558302466</v>
      </c>
    </row>
    <row r="39" spans="3:8" ht="17.25" customHeight="1">
      <c r="C39" s="138" t="str">
        <f>+IF(Índice!$D$2=1,"Saldo global","Overall balance")</f>
        <v>Overall balance</v>
      </c>
      <c r="D39" s="139">
        <v>108451.76148000197</v>
      </c>
      <c r="E39" s="139">
        <v>9609.6903900003526</v>
      </c>
      <c r="F39" s="139">
        <v>16660.233939999947</v>
      </c>
      <c r="G39" s="139">
        <v>134721.6858100018</v>
      </c>
      <c r="H39" s="139">
        <v>496.91842578711947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123019.10106000188</v>
      </c>
      <c r="E41" s="19">
        <v>5706.7024900004035</v>
      </c>
      <c r="F41" s="19">
        <v>15881.103659999906</v>
      </c>
      <c r="G41" s="19">
        <v>144606.90721000195</v>
      </c>
      <c r="H41" s="19">
        <v>54.509008499141842</v>
      </c>
    </row>
    <row r="42" spans="3:8">
      <c r="C42" s="68" t="str">
        <f>+IF(Índice!$D$2=1,"Despesa corrente primária","Primary current expenditure")</f>
        <v>Primary current expenditure</v>
      </c>
      <c r="D42" s="19">
        <v>1337246.1004099983</v>
      </c>
      <c r="E42" s="19">
        <v>616899.02314000006</v>
      </c>
      <c r="F42" s="19">
        <v>444703.66187000001</v>
      </c>
      <c r="G42" s="19">
        <v>1440121.8414599984</v>
      </c>
      <c r="H42" s="19">
        <v>9.9849537771912864</v>
      </c>
    </row>
    <row r="43" spans="3:8">
      <c r="C43" s="68" t="str">
        <f>+IF(Índice!$D$2=1,"Saldo corrente primário","Primary current balance")</f>
        <v>Primary current balance</v>
      </c>
      <c r="D43" s="19">
        <v>257007.08778000181</v>
      </c>
      <c r="E43" s="19">
        <v>5728.4946400003973</v>
      </c>
      <c r="F43" s="19">
        <v>17594.37335999991</v>
      </c>
      <c r="G43" s="19">
        <v>280329.95578000206</v>
      </c>
      <c r="H43" s="19">
        <v>23.053951034768595</v>
      </c>
    </row>
    <row r="44" spans="3:8">
      <c r="C44" s="68" t="str">
        <f>+IF(Índice!$D$2=1,"Saldo de capital","Capital balance")</f>
        <v>Capital balance</v>
      </c>
      <c r="D44" s="19">
        <v>-14567.339580000029</v>
      </c>
      <c r="E44" s="19">
        <v>3902.9878999999974</v>
      </c>
      <c r="F44" s="19">
        <v>779.13028000001214</v>
      </c>
      <c r="G44" s="19">
        <v>-9885.2214000000386</v>
      </c>
      <c r="H44" s="19">
        <v>86.081410123130894</v>
      </c>
    </row>
    <row r="45" spans="3:8">
      <c r="C45" s="68" t="str">
        <f t="array" ref="C45">+IF(Índice!$D$2=1,"Despesa primária","Primary expenditure")</f>
        <v>Primary expenditure</v>
      </c>
      <c r="D45" s="19">
        <v>1500728.5663799981</v>
      </c>
      <c r="E45" s="19">
        <v>621941.08767000015</v>
      </c>
      <c r="F45" s="19">
        <v>525264.97944000002</v>
      </c>
      <c r="G45" s="19">
        <v>1660819.7737999985</v>
      </c>
      <c r="H45" s="19">
        <v>10.246403569705031</v>
      </c>
    </row>
    <row r="46" spans="3:8">
      <c r="C46" s="221" t="str">
        <f>+IF(Índice!$D$2=1,"Saldo primário","Primary balance")</f>
        <v>Primary balance</v>
      </c>
      <c r="D46" s="132">
        <v>242439.74820000189</v>
      </c>
      <c r="E46" s="132">
        <v>9631.4825400003465</v>
      </c>
      <c r="F46" s="132">
        <v>18373.503639999893</v>
      </c>
      <c r="G46" s="132">
        <v>270444.7343800019</v>
      </c>
      <c r="H46" s="132">
        <v>72.489727295940497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4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4"/>
      <c r="E48" s="324"/>
      <c r="F48" s="324"/>
      <c r="G48" s="324"/>
    </row>
    <row r="49" spans="3:7" ht="9" customHeight="1">
      <c r="C49" s="324"/>
      <c r="D49" s="324"/>
      <c r="E49" s="324"/>
      <c r="F49" s="324"/>
      <c r="G49" s="324"/>
    </row>
    <row r="50" spans="3:7" ht="9" customHeight="1">
      <c r="C50" s="324"/>
      <c r="D50" s="324"/>
      <c r="E50" s="324"/>
      <c r="F50" s="324"/>
      <c r="G50" s="324"/>
    </row>
    <row r="51" spans="3:7" ht="9" customHeight="1">
      <c r="C51" s="324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4"/>
      <c r="E51" s="324"/>
      <c r="F51" s="324"/>
      <c r="G51" s="324"/>
    </row>
    <row r="52" spans="3:7" ht="9" customHeight="1">
      <c r="C52" s="324"/>
      <c r="D52" s="324"/>
      <c r="E52" s="324"/>
      <c r="F52" s="324"/>
      <c r="G52" s="324"/>
    </row>
    <row r="53" spans="3:7" ht="9" customHeight="1">
      <c r="C53" s="324"/>
      <c r="D53" s="324"/>
      <c r="E53" s="324"/>
      <c r="F53" s="324"/>
      <c r="G53" s="324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J25" sqref="J2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(janeiro-dezembro)","TABLE II - Regional Gov. budget execution (january-december)")</f>
        <v>TABLE II - Regional Gov. budget execution (january-december)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1442290.8300499998</v>
      </c>
      <c r="E5" s="225">
        <v>1594253.1881900001</v>
      </c>
      <c r="F5" s="225">
        <v>10.53618001126253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1201378.0013799998</v>
      </c>
      <c r="E6" s="231">
        <v>1314865.7913600001</v>
      </c>
      <c r="F6" s="231">
        <v>9.44646812657124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488455.90042999998</v>
      </c>
      <c r="E7" s="231">
        <v>511094.40986000001</v>
      </c>
      <c r="F7" s="231">
        <v>4.6347089696471722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712922.10094999988</v>
      </c>
      <c r="E8" s="231">
        <v>803771.38150000002</v>
      </c>
      <c r="F8" s="231">
        <v>12.743226844691646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240912.82866999999</v>
      </c>
      <c r="E9" s="231">
        <v>279387.39682999998</v>
      </c>
      <c r="F9" s="231">
        <v>15.970327679271112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94438.933260000005</v>
      </c>
      <c r="E10" s="232">
        <v>148915.12638999999</v>
      </c>
      <c r="F10" s="232">
        <v>57.684041157073928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1536729.7633099998</v>
      </c>
      <c r="E12" s="232">
        <v>1743168.31458</v>
      </c>
      <c r="F12" s="232">
        <v>13.433627446985019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1345963.2351100005</v>
      </c>
      <c r="E14" s="232">
        <v>1471234.087129999</v>
      </c>
      <c r="F14" s="232">
        <v>9.3071525842799439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451675.80176000053</v>
      </c>
      <c r="E15" s="231">
        <v>479950.12167999928</v>
      </c>
      <c r="F15" s="231">
        <v>6.2598704225076851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166508.89850000013</v>
      </c>
      <c r="E16" s="231">
        <v>167728.42447999984</v>
      </c>
      <c r="F16" s="231">
        <v>0.73240889284948985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125688.90943000004</v>
      </c>
      <c r="E17" s="231">
        <v>133987.98672000002</v>
      </c>
      <c r="F17" s="231">
        <v>6.6028715879836497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577794.81918999983</v>
      </c>
      <c r="E18" s="231">
        <v>655354.53263000015</v>
      </c>
      <c r="F18" s="231">
        <v>13.423400637051387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484250.91836999985</v>
      </c>
      <c r="E19" s="231">
        <v>561822.72435000015</v>
      </c>
      <c r="F19" s="231">
        <v>16.018928005569677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93543.900819999952</v>
      </c>
      <c r="E20" s="231">
        <v>93531.808279999954</v>
      </c>
      <c r="F20" s="231">
        <v>-1.2927128218942485E-2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23299.428070000005</v>
      </c>
      <c r="E21" s="231">
        <v>33241.758239999988</v>
      </c>
      <c r="F21" s="231">
        <v>42.671992377364745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995.37815999999987</v>
      </c>
      <c r="E22" s="231">
        <v>971.26338000000032</v>
      </c>
      <c r="F22" s="231">
        <v>-2.4226752172259336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160921.95369999995</v>
      </c>
      <c r="E23" s="232">
        <v>163482.46597000002</v>
      </c>
      <c r="F23" s="232">
        <v>1.5911516179908602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113871.42853999996</v>
      </c>
      <c r="E24" s="231">
        <v>108732.03923000001</v>
      </c>
      <c r="F24" s="231">
        <v>-4.5133264558937398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47050.52515999999</v>
      </c>
      <c r="E25" s="231">
        <v>54750.426740000003</v>
      </c>
      <c r="F25" s="231">
        <v>16.365176698486849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39679.856629999995</v>
      </c>
      <c r="E26" s="231">
        <v>44179.671200000004</v>
      </c>
      <c r="F26" s="231">
        <v>11.34029946720605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7370.668529999999</v>
      </c>
      <c r="E27" s="231">
        <v>10570.75554</v>
      </c>
      <c r="F27" s="231">
        <v>43.416509601198982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1506885.1888100004</v>
      </c>
      <c r="E29" s="235">
        <v>1634716.553099999</v>
      </c>
      <c r="F29" s="235">
        <v>8.483152216191602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29844.574499999333</v>
      </c>
      <c r="E31" s="139">
        <v>108451.76148000115</v>
      </c>
      <c r="F31" s="139">
        <v>263.38853308162788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96327.594939999282</v>
      </c>
      <c r="E33" s="19">
        <v>123019.10106000118</v>
      </c>
      <c r="F33" s="19">
        <v>27.709096377447761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-66483.020439999949</v>
      </c>
      <c r="E34" s="19">
        <v>-14567.339580000029</v>
      </c>
      <c r="F34" s="19">
        <v>78.088631527884829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155533.48392999938</v>
      </c>
      <c r="E35" s="19">
        <v>242439.74820000117</v>
      </c>
      <c r="F35" s="19">
        <v>55.876240970153731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108036.33630000001</v>
      </c>
      <c r="E36" s="106">
        <v>19040.555689999997</v>
      </c>
      <c r="F36" s="106">
        <v>-82.375785460618218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5"/>
      <c r="D38" s="325"/>
      <c r="E38" s="325"/>
      <c r="F38" s="325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topLeftCell="A12" zoomScale="130" zoomScaleNormal="130" workbookViewId="0">
      <selection activeCell="J25" sqref="J25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(dezembro)","TABLE III - Regional Gov. budget execution (december)")</f>
        <v>TABLE III - Regional Gov. budget execution (december)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2023</v>
      </c>
      <c r="E3" s="293">
        <v>2024</v>
      </c>
      <c r="F3" s="293" t="s">
        <v>99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188011.32039000001</v>
      </c>
      <c r="E5" s="225">
        <v>193136.07405999987</v>
      </c>
      <c r="F5" s="225">
        <v>2.7257686714658336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182583.26318000001</v>
      </c>
      <c r="E6" s="231">
        <v>175680.5453099999</v>
      </c>
      <c r="F6" s="231">
        <v>-3.7805863197849954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112267.53056999999</v>
      </c>
      <c r="E7" s="231">
        <v>84768.19653000003</v>
      </c>
      <c r="F7" s="231">
        <v>-24.494467723999534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70315.732610000021</v>
      </c>
      <c r="E8" s="231">
        <v>90912.348779999855</v>
      </c>
      <c r="F8" s="231">
        <v>29.291618540387176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5428.0572100000009</v>
      </c>
      <c r="E9" s="231">
        <v>17455.528749999976</v>
      </c>
      <c r="F9" s="231">
        <v>221.57967528127753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18662.903590000009</v>
      </c>
      <c r="E10" s="232">
        <v>5236.6232099999797</v>
      </c>
      <c r="F10" s="232">
        <v>-71.941004866971099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206674.22398000001</v>
      </c>
      <c r="E12" s="232">
        <v>198372.69726999986</v>
      </c>
      <c r="F12" s="232">
        <v>-4.0167208808794097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181666.94650999966</v>
      </c>
      <c r="E14" s="232">
        <v>175540.822419998</v>
      </c>
      <c r="F14" s="232">
        <v>-3.3721732035962071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44287.848800000429</v>
      </c>
      <c r="E15" s="231">
        <v>46132.453089999733</v>
      </c>
      <c r="F15" s="231">
        <v>4.1650347442463431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14510.911169999868</v>
      </c>
      <c r="E16" s="231">
        <v>10620.115259999931</v>
      </c>
      <c r="F16" s="231">
        <v>-26.812898683053355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25185.787610000014</v>
      </c>
      <c r="E17" s="231">
        <v>15827.79763000001</v>
      </c>
      <c r="F17" s="231">
        <v>-37.155836160090608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93694.640669999368</v>
      </c>
      <c r="E18" s="231">
        <v>98056.804859998345</v>
      </c>
      <c r="F18" s="231">
        <v>4.6557243389863556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3826.3747300000005</v>
      </c>
      <c r="E19" s="231">
        <v>4839.6594699999914</v>
      </c>
      <c r="F19" s="231">
        <v>26.481586658397948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161.38352999999967</v>
      </c>
      <c r="E20" s="231">
        <v>63.992110000000103</v>
      </c>
      <c r="F20" s="231">
        <v>-60.347806247638623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32456.093199999959</v>
      </c>
      <c r="E21" s="232">
        <v>31141.518809999987</v>
      </c>
      <c r="F21" s="232">
        <v>-4.0503161668268062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26361.540659999981</v>
      </c>
      <c r="E22" s="231">
        <v>16253.216749999985</v>
      </c>
      <c r="F22" s="231">
        <v>-38.344966405313286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6094.5525399999769</v>
      </c>
      <c r="E23" s="231">
        <v>14888.302060000002</v>
      </c>
      <c r="F23" s="231">
        <v>144.28868177416777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214123.03970999963</v>
      </c>
      <c r="E25" s="300">
        <v>206682.34122999798</v>
      </c>
      <c r="F25" s="300">
        <v>-3.4749639693510193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-7448.8157299996237</v>
      </c>
      <c r="E27" s="287">
        <v>-8309.643959998124</v>
      </c>
      <c r="F27" s="287">
        <v>-11.556578403887352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6344.3738800003484</v>
      </c>
      <c r="E29" s="19">
        <v>17595.251640001865</v>
      </c>
      <c r="F29" s="19">
        <v>177.33629784127567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-13793.18960999995</v>
      </c>
      <c r="E30" s="19">
        <v>-25904.895600000007</v>
      </c>
      <c r="F30" s="19">
        <v>-87.809319906826829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17736.97188000039</v>
      </c>
      <c r="E31" s="19">
        <v>7518.153670001886</v>
      </c>
      <c r="F31" s="19">
        <v>-57.613093594182772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5"/>
      <c r="E33" s="325"/>
      <c r="F33" s="325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topLeftCell="A8" zoomScale="120" zoomScaleNormal="120" zoomScaleSheetLayoutView="100" zoomScalePageLayoutView="150" workbookViewId="0">
      <selection activeCell="J25" sqref="J25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(janeiro-dezembro)","TABLE IV - Regional Gov. tax revenue budget execution (january-december)")</f>
        <v>TABLE IV - Regional Gov. tax revenue budget execution (january-december)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+IF(Índice!$D$2=1,"Grau de Execução (%)","Execution level (%)")</f>
        <v>Execution level (%)</v>
      </c>
      <c r="G3" s="240" t="str">
        <f>+IF(Índice!$D$2=1,"VH (%)","yoy change (%)")</f>
        <v>yoy change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1201378.0013799998</v>
      </c>
      <c r="E5" s="33">
        <v>1314865.7913600001</v>
      </c>
      <c r="F5" s="270">
        <v>1.036850780841853</v>
      </c>
      <c r="G5" s="270">
        <v>9.4464681265712391E-2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488455.90042999998</v>
      </c>
      <c r="E7" s="70">
        <v>511094.40986000001</v>
      </c>
      <c r="F7" s="271">
        <v>1.1129166399530728</v>
      </c>
      <c r="G7" s="271">
        <v>4.6347089696471722E-2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271127.02961999999</v>
      </c>
      <c r="E8" s="70">
        <v>263587.87205000001</v>
      </c>
      <c r="F8" s="271">
        <v>1.1072247472672638</v>
      </c>
      <c r="G8" s="271">
        <v>-2.7806735391032511E-2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217328.87080999999</v>
      </c>
      <c r="E9" s="70">
        <v>247506.53781000001</v>
      </c>
      <c r="F9" s="271">
        <v>1.1190430556922799</v>
      </c>
      <c r="G9" s="271">
        <v>0.13885714717757347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712922.10094999988</v>
      </c>
      <c r="E11" s="70">
        <v>803771.38150000002</v>
      </c>
      <c r="F11" s="271">
        <v>0.99366548152612433</v>
      </c>
      <c r="G11" s="271">
        <v>0.12743226844691646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40381.250180000003</v>
      </c>
      <c r="E12" s="70">
        <v>42086.632279999998</v>
      </c>
      <c r="F12" s="271">
        <v>0.87680483916666663</v>
      </c>
      <c r="G12" s="271">
        <v>4.2232028290313695E-2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549914.06316000002</v>
      </c>
      <c r="E13" s="70">
        <v>626708.83572999993</v>
      </c>
      <c r="F13" s="271">
        <v>1.0002885245522446</v>
      </c>
      <c r="G13" s="271">
        <v>0.13964867915672152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7304.1588499999998</v>
      </c>
      <c r="E14" s="70">
        <v>7135.4258799999998</v>
      </c>
      <c r="F14" s="271">
        <v>0.94722233904155051</v>
      </c>
      <c r="G14" s="271">
        <v>-2.310094474465052E-2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41955.070380000005</v>
      </c>
      <c r="E15" s="70">
        <v>47056.933319999996</v>
      </c>
      <c r="F15" s="271">
        <v>1.0108111497630634</v>
      </c>
      <c r="G15" s="271">
        <v>0.12160301231271564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9979.6633399999992</v>
      </c>
      <c r="E16" s="70">
        <v>12221.253089999998</v>
      </c>
      <c r="F16" s="271">
        <v>0.95283996643103841</v>
      </c>
      <c r="G16" s="271">
        <v>0.22461576845136344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63387.895039999996</v>
      </c>
      <c r="E17" s="70">
        <v>68562.301200000002</v>
      </c>
      <c r="F17" s="271">
        <v>1.016422819361458</v>
      </c>
      <c r="G17" s="271">
        <v>8.1630824887539921E-2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35392.829359999996</v>
      </c>
      <c r="E18" s="70">
        <v>40450.028099999996</v>
      </c>
      <c r="F18" s="271">
        <v>1.0795762176543708</v>
      </c>
      <c r="G18" s="271">
        <v>0.14288766485890236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7371.3321899999992</v>
      </c>
      <c r="E19" s="70">
        <v>7352.0197200000002</v>
      </c>
      <c r="F19" s="271">
        <v>0.90528736147367384</v>
      </c>
      <c r="G19" s="271">
        <v>-2.6199429766845528E-3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335351.76192999998</v>
      </c>
      <c r="E21" s="33">
        <v>428302.52321999997</v>
      </c>
      <c r="F21" s="270">
        <v>0.67851723148439169</v>
      </c>
      <c r="G21" s="270">
        <v>0.27717391659150481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1536729.7633099998</v>
      </c>
      <c r="E23" s="139">
        <v>1743168.31458</v>
      </c>
      <c r="F23" s="274">
        <v>0.91776269848846181</v>
      </c>
      <c r="G23" s="274">
        <v>0.13433627446985019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J25" sqref="J2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(janeiro-dezembro)","TABLE V - Regional Gov. non-tax revenue budget execution (january-december)")</f>
        <v>TABLE V - Regional Gov. non-tax revenue budget execution (january-december)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+IF(Índice!$D$2=1,"Grau de Execução (%)","Execution level (%)")</f>
        <v>Execution level (%)</v>
      </c>
      <c r="G3" s="226" t="str">
        <f>+IF(Índice!$D$2=1,"VH (%)","yoy change (%)")</f>
        <v>yoy change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1201378.0013799998</v>
      </c>
      <c r="E5" s="41">
        <v>1314865.7913600001</v>
      </c>
      <c r="F5" s="276">
        <v>1.036850780841853</v>
      </c>
      <c r="G5" s="42">
        <v>9.4464681265712391E-2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335351.76192999998</v>
      </c>
      <c r="E7" s="41">
        <v>428302.52321999997</v>
      </c>
      <c r="F7" s="276">
        <v>0.67851723148439169</v>
      </c>
      <c r="G7" s="42">
        <v>0.27717391659150481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240912.82866999999</v>
      </c>
      <c r="E8" s="41">
        <v>279387.39682999998</v>
      </c>
      <c r="F8" s="276">
        <v>0.76931432728603977</v>
      </c>
      <c r="G8" s="42">
        <v>0.15970327679271112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21606.332969999996</v>
      </c>
      <c r="E10" s="71">
        <v>31972.11634</v>
      </c>
      <c r="F10" s="278">
        <v>0.7210650438356877</v>
      </c>
      <c r="G10" s="43">
        <v>0.47975671690298904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8417.6207999999988</v>
      </c>
      <c r="E11" s="71">
        <v>6833.6745299999993</v>
      </c>
      <c r="F11" s="278">
        <v>0.92114997585808911</v>
      </c>
      <c r="G11" s="43">
        <v>-0.18817030460673634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195547.34127</v>
      </c>
      <c r="E12" s="71">
        <v>217938.40501999998</v>
      </c>
      <c r="F12" s="278">
        <v>0.77958437031857841</v>
      </c>
      <c r="G12" s="43">
        <v>0.11450456756189653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11453.088169999997</v>
      </c>
      <c r="E13" s="47">
        <v>11646.72385</v>
      </c>
      <c r="F13" s="278">
        <v>0.83565203031952628</v>
      </c>
      <c r="G13" s="43">
        <v>1.6906853167096836E-2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3888.4454599999999</v>
      </c>
      <c r="E14" s="71">
        <v>10996.47709</v>
      </c>
      <c r="F14" s="278">
        <v>0.61395309738070702</v>
      </c>
      <c r="G14" s="43">
        <v>1.8279879975479973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94438.933260000005</v>
      </c>
      <c r="E17" s="41">
        <v>148915.12638999999</v>
      </c>
      <c r="F17" s="276">
        <v>0.55551060961320342</v>
      </c>
      <c r="G17" s="42">
        <v>0.57684041157073929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7634.7410199999995</v>
      </c>
      <c r="E18" s="71">
        <v>1716.9569399999998</v>
      </c>
      <c r="F18" s="278">
        <v>0.16021043239612698</v>
      </c>
      <c r="G18" s="43">
        <v>-0.77511261541128218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81389.624939999994</v>
      </c>
      <c r="E19" s="44">
        <v>139765.43617999999</v>
      </c>
      <c r="F19" s="278">
        <v>0.56390563775777547</v>
      </c>
      <c r="G19" s="43">
        <v>0.71723897588954788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8.2813999999999997</v>
      </c>
      <c r="E20" s="71">
        <v>20.318390000000001</v>
      </c>
      <c r="F20" s="278">
        <v>1.3226396302564771</v>
      </c>
      <c r="G20" s="43">
        <v>1.453496993262009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5406.2859000000008</v>
      </c>
      <c r="E21" s="47">
        <v>7412.4148800000003</v>
      </c>
      <c r="F21" s="278">
        <v>0.78155882524744991</v>
      </c>
      <c r="G21" s="43">
        <v>0.37107341659456061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1536729.7633099998</v>
      </c>
      <c r="E23" s="287">
        <v>1743168.31458</v>
      </c>
      <c r="F23" s="288">
        <v>0.91776269848846181</v>
      </c>
      <c r="G23" s="288">
        <v>0.13433627446985019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topLeftCell="A10" zoomScale="120" zoomScaleNormal="120" workbookViewId="0">
      <selection activeCell="J25" sqref="J2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(janeiro-dezembro)","TABLE VI - Regional Gov. expenditure budget execution (january-december)")</f>
        <v>TABLE VI - Regional Gov. expenditure budget execution (january-december)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7">
        <v>2023</v>
      </c>
      <c r="E3" s="329">
        <v>2024</v>
      </c>
      <c r="F3" s="153">
        <v>2023</v>
      </c>
      <c r="G3" s="153">
        <v>2024</v>
      </c>
      <c r="H3" s="330" t="str">
        <f>+IF(Índice!$D$2=1,"VH (%)","yoy change (%)")</f>
        <v>yoy change (%)</v>
      </c>
    </row>
    <row r="4" spans="1:15" ht="12" customHeight="1">
      <c r="C4" s="132"/>
      <c r="D4" s="328"/>
      <c r="E4" s="328"/>
      <c r="F4" s="326" t="str">
        <f>+IF(Índice!$D$2=1,"Grau de Execução (%)","Execution level (%)")</f>
        <v>Execution level (%)</v>
      </c>
      <c r="G4" s="326" t="str">
        <f>+IF(Índice!$D$2="PT","Grau de Execução (%)","Execution Level (%)")</f>
        <v>Execution Level (%)</v>
      </c>
      <c r="H4" s="331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1345963.2351100005</v>
      </c>
      <c r="E5" s="253">
        <v>1471234.087129999</v>
      </c>
      <c r="F5" s="253">
        <v>90.987807198725008</v>
      </c>
      <c r="G5" s="253">
        <v>89.874592785269499</v>
      </c>
      <c r="H5" s="253">
        <v>9.3071525842799545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451675.80176000053</v>
      </c>
      <c r="E6" s="74">
        <v>479950.12167999928</v>
      </c>
      <c r="F6" s="74">
        <v>98.827175136917219</v>
      </c>
      <c r="G6" s="74">
        <v>98.89398835208155</v>
      </c>
      <c r="H6" s="254">
        <v>6.2598704225076931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359736.1220600002</v>
      </c>
      <c r="E7" s="75">
        <v>375880.87332999933</v>
      </c>
      <c r="F7" s="75">
        <v>99.035550900247841</v>
      </c>
      <c r="G7" s="75">
        <v>99.104196781413691</v>
      </c>
      <c r="H7" s="254">
        <v>4.487942766922461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6940.2095799999988</v>
      </c>
      <c r="E8" s="75">
        <v>13628.058429999997</v>
      </c>
      <c r="F8" s="75">
        <v>91.139218700467524</v>
      </c>
      <c r="G8" s="75">
        <v>95.427325554933276</v>
      </c>
      <c r="H8" s="254">
        <v>96.363788051484164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84999.4701200001</v>
      </c>
      <c r="E9" s="75">
        <v>90441.189919999975</v>
      </c>
      <c r="F9" s="75">
        <v>98.628213537540148</v>
      </c>
      <c r="G9" s="75">
        <v>98.564646610231023</v>
      </c>
      <c r="H9" s="254">
        <v>6.4020632038263221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166508.89850000013</v>
      </c>
      <c r="E10" s="75">
        <v>167728.42447999984</v>
      </c>
      <c r="F10" s="75">
        <v>83.908213804743696</v>
      </c>
      <c r="G10" s="75">
        <v>76.381089321872068</v>
      </c>
      <c r="H10" s="254">
        <v>0.73240889284947974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125688.90943000004</v>
      </c>
      <c r="E11" s="75">
        <v>133987.98672000002</v>
      </c>
      <c r="F11" s="75">
        <v>93.365745344751659</v>
      </c>
      <c r="G11" s="75">
        <v>97.633446516674255</v>
      </c>
      <c r="H11" s="254">
        <v>6.602871587983647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577794.81918999983</v>
      </c>
      <c r="E12" s="74">
        <v>655354.53263000015</v>
      </c>
      <c r="F12" s="74">
        <v>88.9691149817249</v>
      </c>
      <c r="G12" s="74">
        <v>88.789402116881348</v>
      </c>
      <c r="H12" s="254">
        <v>13.42340063705138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484250.91836999985</v>
      </c>
      <c r="E13" s="74">
        <v>561822.72435000015</v>
      </c>
      <c r="F13" s="74">
        <v>90.301090241362331</v>
      </c>
      <c r="G13" s="74">
        <v>91.722497215960146</v>
      </c>
      <c r="H13" s="254">
        <v>16.018928005569684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230</v>
      </c>
      <c r="E14" s="75">
        <v>247.78399999999999</v>
      </c>
      <c r="F14" s="74">
        <v>64.971017276640936</v>
      </c>
      <c r="G14" s="74">
        <v>41.903892172530711</v>
      </c>
      <c r="H14" s="254">
        <v>7.732173913043475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484020.91836999985</v>
      </c>
      <c r="E15" s="75">
        <v>561574.94035000016</v>
      </c>
      <c r="F15" s="75">
        <v>90.317822475653998</v>
      </c>
      <c r="G15" s="75">
        <v>91.770637260373391</v>
      </c>
      <c r="H15" s="254">
        <v>16.022865755714246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100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100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93543.900819999952</v>
      </c>
      <c r="E18" s="75">
        <v>93531.808279999954</v>
      </c>
      <c r="F18" s="72">
        <v>82.657501232741794</v>
      </c>
      <c r="G18" s="72">
        <v>74.482530839595213</v>
      </c>
      <c r="H18" s="77">
        <v>-1.2927128218938254E-2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23299.428070000005</v>
      </c>
      <c r="E19" s="72">
        <v>33241.758239999988</v>
      </c>
      <c r="F19" s="72">
        <v>65.17551335018895</v>
      </c>
      <c r="G19" s="72">
        <v>66.378383740696108</v>
      </c>
      <c r="H19" s="77">
        <v>42.671992377364745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995.37815999999987</v>
      </c>
      <c r="E20" s="72">
        <v>971.26338000000032</v>
      </c>
      <c r="F20" s="72">
        <v>24.889313638487913</v>
      </c>
      <c r="G20" s="72">
        <v>14.586418665673081</v>
      </c>
      <c r="H20" s="77">
        <v>-2.422675217225938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1220274.3256800005</v>
      </c>
      <c r="E22" s="78">
        <v>1337246.100409999</v>
      </c>
      <c r="F22" s="78">
        <v>90.749740931108533</v>
      </c>
      <c r="G22" s="78">
        <v>89.164612981994054</v>
      </c>
      <c r="H22" s="76">
        <v>9.5856949759895809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160921.95369999995</v>
      </c>
      <c r="E24" s="78">
        <v>163482.46597000002</v>
      </c>
      <c r="F24" s="78">
        <v>59.704591449208642</v>
      </c>
      <c r="G24" s="78">
        <v>53.069033655942945</v>
      </c>
      <c r="H24" s="76">
        <v>1.5911516179908678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113871.42853999996</v>
      </c>
      <c r="E25" s="72">
        <v>108732.03923000001</v>
      </c>
      <c r="F25" s="72">
        <v>61.068607061961899</v>
      </c>
      <c r="G25" s="72">
        <v>56.950524692109575</v>
      </c>
      <c r="H25" s="77">
        <v>-4.5133264558937416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47050.52515999999</v>
      </c>
      <c r="E26" s="59">
        <v>54750.426740000003</v>
      </c>
      <c r="F26" s="59">
        <v>56.64266135336743</v>
      </c>
      <c r="G26" s="59">
        <v>47.554255282281161</v>
      </c>
      <c r="H26" s="77">
        <v>16.365176698486852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39679.856629999995</v>
      </c>
      <c r="E27" s="59">
        <v>44179.671200000004</v>
      </c>
      <c r="F27" s="59">
        <v>55.707029035273891</v>
      </c>
      <c r="G27" s="59">
        <v>58.315740187478717</v>
      </c>
      <c r="H27" s="77">
        <v>11.340299467206039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6769.5569299999997</v>
      </c>
      <c r="E28" s="72">
        <v>10137.75088</v>
      </c>
      <c r="F28" s="72">
        <v>76.429401594261336</v>
      </c>
      <c r="G28" s="72">
        <v>79.525830527216343</v>
      </c>
      <c r="H28" s="77">
        <v>49.755013287110359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32087.352899999994</v>
      </c>
      <c r="E29" s="72">
        <v>31867.669740000005</v>
      </c>
      <c r="F29" s="72">
        <v>56.146418176310121</v>
      </c>
      <c r="G29" s="72">
        <v>55.226866426353027</v>
      </c>
      <c r="H29" s="77">
        <v>-0.68464095709181927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822.94680000000005</v>
      </c>
      <c r="E30" s="72">
        <v>2174.2505799999999</v>
      </c>
      <c r="F30" s="72">
        <v>15.756679694051748</v>
      </c>
      <c r="G30" s="72">
        <v>40.95805523274926</v>
      </c>
      <c r="H30" s="77">
        <v>164.20305419499775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1506885.1888100004</v>
      </c>
      <c r="E33" s="142">
        <v>1634716.553099999</v>
      </c>
      <c r="F33" s="143">
        <v>86.166369216414893</v>
      </c>
      <c r="G33" s="143">
        <v>84.045318544449188</v>
      </c>
      <c r="H33" s="141">
        <v>8.483152216191602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108036.33630000001</v>
      </c>
      <c r="E36" s="150">
        <v>19040.555689999997</v>
      </c>
      <c r="F36" s="150">
        <v>99.82335019780551</v>
      </c>
      <c r="G36" s="150">
        <v>96.539038025688257</v>
      </c>
      <c r="H36" s="128">
        <v>-82.375785460618218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256439.51332999999</v>
      </c>
      <c r="E37" s="150">
        <v>263321.89052999998</v>
      </c>
      <c r="F37" s="150">
        <v>99.998385349009254</v>
      </c>
      <c r="G37" s="150">
        <v>99.999633730995356</v>
      </c>
      <c r="H37" s="128">
        <v>2.6838208787049829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J25" sqref="J25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(janeiro-dezembro)","TABLE VII - Regional Gov. expenditure by functional classification (january-december)")</f>
        <v>TABLE VII - Regional Gov. expenditure by functional classification (january-december)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29">
        <v>2023</v>
      </c>
      <c r="E3" s="332">
        <v>2024</v>
      </c>
      <c r="F3" s="333" t="str">
        <f>+IF(Índice!$D$2=1,"Peso na estrutura
 em 2024","Weight in 2024 structure")</f>
        <v>Weight in 2024 structure</v>
      </c>
      <c r="M3" s="7"/>
      <c r="N3" s="7"/>
      <c r="P3" s="9"/>
      <c r="Q3" s="9"/>
    </row>
    <row r="4" spans="2:17" ht="13.5" customHeight="1">
      <c r="C4" s="134"/>
      <c r="D4" s="328"/>
      <c r="E4" s="328"/>
      <c r="F4" s="328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224920.28663000019</v>
      </c>
      <c r="E5" s="34">
        <v>237444.3165599998</v>
      </c>
      <c r="F5" s="34">
        <v>14.525106270547134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11295.07755</v>
      </c>
      <c r="E7" s="34">
        <v>14181.316209999997</v>
      </c>
      <c r="F7" s="34">
        <v>0.86750918274530398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254026.20061000006</v>
      </c>
      <c r="E8" s="34">
        <v>253419.07361999995</v>
      </c>
      <c r="F8" s="34">
        <v>15.502325044634077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17996.442379999997</v>
      </c>
      <c r="E9" s="34">
        <v>25219.384450000009</v>
      </c>
      <c r="F9" s="34">
        <v>1.5427374490198422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105393.86721999997</v>
      </c>
      <c r="E10" s="34">
        <v>96540.434380000064</v>
      </c>
      <c r="F10" s="34">
        <v>5.9056375367904241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411494.80445999984</v>
      </c>
      <c r="E11" s="34">
        <v>483788.71647000004</v>
      </c>
      <c r="F11" s="34">
        <v>29.594654532161325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40425.38377</v>
      </c>
      <c r="E12" s="34">
        <v>39077.173240000011</v>
      </c>
      <c r="F12" s="34">
        <v>2.3904555909644354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420244.07303999877</v>
      </c>
      <c r="E13" s="34">
        <v>452700.52862999856</v>
      </c>
      <c r="F13" s="34">
        <v>27.692906624791856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21089.053150000011</v>
      </c>
      <c r="E14" s="34">
        <v>32345.609539999998</v>
      </c>
      <c r="F14" s="34">
        <v>1.9786677683456089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1506885.1888099988</v>
      </c>
      <c r="E17" s="145">
        <v>1634716.5530999983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108036.33630000001</v>
      </c>
      <c r="E20" s="152">
        <v>19040.555689999997</v>
      </c>
      <c r="F20" s="152">
        <v>1.1647619065147654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256439.51332999999</v>
      </c>
      <c r="E21" s="283">
        <v>263321.89052999998</v>
      </c>
      <c r="F21" s="283">
        <v>16.108106939435398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4.xml><?xml version="1.0" encoding="utf-8"?>
<LongProperties xmlns="http://schemas.microsoft.com/office/2006/metadata/longProperties"/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2025-01-29T16:46:02Z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