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Fevereiro\"/>
    </mc:Choice>
  </mc:AlternateContent>
  <xr:revisionPtr revIDLastSave="0" documentId="13_ncr:1_{6CFAD281-F408-452E-A151-CC79B88A0B2D}" xr6:coauthVersionLast="47" xr6:coauthVersionMax="47" xr10:uidLastSave="{00000000-0000-0000-0000-000000000000}"/>
  <bookViews>
    <workbookView xWindow="2868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8" l="1"/>
  <c r="C2" i="60"/>
  <c r="C2" i="9"/>
  <c r="C2" i="50"/>
  <c r="C2" i="10"/>
  <c r="C2" i="11"/>
  <c r="C2" i="12"/>
  <c r="C2" i="39"/>
  <c r="C2" i="13"/>
  <c r="C2" i="51"/>
  <c r="C2" i="61"/>
  <c r="D3" i="61"/>
  <c r="C2" i="32"/>
  <c r="D42" i="38"/>
  <c r="C41" i="38"/>
  <c r="D33" i="38"/>
  <c r="C32" i="38"/>
  <c r="D24" i="38"/>
  <c r="C23" i="38"/>
  <c r="D3" i="38"/>
  <c r="C2" i="38"/>
  <c r="F3" i="11"/>
  <c r="G3" i="32"/>
  <c r="C46" i="12"/>
  <c r="F33" i="38" l="1"/>
  <c r="E33" i="38"/>
  <c r="F42" i="38"/>
  <c r="E42" i="38"/>
  <c r="F24" i="38"/>
  <c r="E24" i="38"/>
  <c r="G24" i="38"/>
  <c r="G33" i="38"/>
  <c r="G42" i="38"/>
  <c r="G3" i="38"/>
  <c r="A16" i="54" l="1"/>
  <c r="A8" i="54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<sst xmlns="http://schemas.openxmlformats.org/spreadsheetml/2006/main" count="100" uniqueCount="82">
  <si>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</si>
  <si>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</si>
  <si>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</si>
  <si>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</si>
  <si>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</si>
  <si>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</si>
  <si>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</si>
  <si>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</si>
  <si>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</si>
  <si>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</si>
  <si>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</si>
  <si>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</si>
  <si>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</si>
  <si>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</si>
  <si>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</si>
  <si>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</si>
  <si>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</si>
  <si>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</si>
  <si>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</si>
  <si>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</si>
  <si>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</si>
  <si>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</si>
  <si>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Secretaria Regional de Economia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</si>
  <si>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</si>
  <si>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</si>
  <si>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</si>
  <si>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</si>
  <si>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</si>
  <si>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</si>
  <si>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</si>
  <si>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</si>
  <si>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</si>
  <si>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da Cultura</t>
  </si>
  <si>
    <t>Direção Regional do Arquivo e Biblioteca da Madeira</t>
  </si>
  <si>
    <t>Secretaria Regional de Inclusão Social e Cidadania</t>
  </si>
  <si>
    <t>Gabinete da Secretária Regional</t>
  </si>
  <si>
    <t>Direção Regional do Trabalho e Ação Inspetiva</t>
  </si>
  <si>
    <t>Secretaria Regional de Agricultura e Desenvolvimento Rural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</si>
  <si>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</si>
  <si>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</si>
  <si>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</si>
  <si>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</si>
  <si>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</si>
  <si>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</si>
  <si>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</si>
  <si>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</si>
  <si>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</si>
  <si>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</si>
  <si>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</si>
  <si>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</si>
  <si>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</si>
  <si>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</si>
  <si>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</si>
  <si>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Instituto das Florestas e Conservação da Natureza,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</si>
  <si>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</si>
  <si>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</si>
  <si>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</si>
  <si>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</si>
  <si>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</si>
  <si>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</si>
  <si>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</si>
  <si>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</si>
  <si>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da Saúde</t>
  </si>
  <si>
    <t>Direção Regional do Ambiente e Alterações Climáticas</t>
  </si>
  <si>
    <t>Escola Básica e Secundária Padre Manuel Álvares - Ribeira Brava</t>
  </si>
  <si>
    <t>Escola Básica dos 2º e 3º Ciclos Dr. Horácio Bento de Gouveia - Funchal</t>
  </si>
  <si>
    <t>Escola Básica com Pré-Escolar de Santo António e Curral das Freiras - Funchal</t>
  </si>
  <si>
    <t>Escola Secundária Jaime Moniz - Funchal</t>
  </si>
  <si>
    <t>Escola Básica e Secundária Dr. Luís Maurílio da Silva Dantas - Câmara de Lobos</t>
  </si>
  <si>
    <t>Escola Básica dos 2º e 3º Ciclos dos Louros - Funchal</t>
  </si>
  <si>
    <t>Escola Básica e Secundária com Pré-Escolar e Creche do Porto Moniz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</si>
  <si>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</si>
  <si>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</si>
  <si>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</si>
  <si>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</si>
  <si>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</si>
  <si>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Gabinete do Secretário e Serviços Dependentes-SRS</t>
  </si>
  <si>
    <t>Gabinete do Secretário Regional de Agricultura e Desenvolvimento Rural</t>
  </si>
  <si>
    <t>EHTM-Escola de Hotelaria e Turismo da Madeira</t>
  </si>
  <si>
    <t>Agência de Inovação e Modernização da Região Autónoma da Madeira, IP-RAM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</si>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</sst>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3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4" fillId="0" borderId="25" xfId="62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03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Q4" sqref="Q4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I15" sqref="I15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(janeiro-fevereiro)","TABLE VIII - Budget execution by organic and economic cross-classification (january-february)")</f>
        <v>TABLE VIII - Budget execution by organic and economic cross-classification (january-february)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5</v>
      </c>
    </row>
    <row r="4" spans="2:18" ht="27" customHeight="1">
      <c r="C4" s="253" t="str">
        <f>+IF(Índice!$D$2=1,"Despesa corrente","Current expenditure")</f>
        <v>Current expenditure</v>
      </c>
      <c r="D4" s="194">
        <v>1860</v>
      </c>
      <c r="E4" s="194">
        <v>333.37380000000013</v>
      </c>
      <c r="F4" s="194">
        <v>59704.894480000003</v>
      </c>
      <c r="G4" s="194">
        <v>1565.5341999999996</v>
      </c>
      <c r="H4" s="194">
        <v>29978.648080000003</v>
      </c>
      <c r="I4" s="194">
        <v>47080.163340000006</v>
      </c>
      <c r="J4" s="194">
        <v>2461.4230499999994</v>
      </c>
      <c r="K4" s="194">
        <v>1766.5293200000001</v>
      </c>
      <c r="L4" s="194">
        <v>2075.28395</v>
      </c>
      <c r="M4" s="194">
        <v>687.62401000000011</v>
      </c>
      <c r="N4" s="194">
        <v>2839.1466400000004</v>
      </c>
      <c r="O4" s="194">
        <v>30544.496669999997</v>
      </c>
      <c r="P4" s="194">
        <v>180897.11754000001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253.08206000000013</v>
      </c>
      <c r="F5" s="196">
        <v>46706.400200000004</v>
      </c>
      <c r="G5" s="196">
        <v>958.15641999999968</v>
      </c>
      <c r="H5" s="196">
        <v>4152.9564299999984</v>
      </c>
      <c r="I5" s="196">
        <v>745.74649000000011</v>
      </c>
      <c r="J5" s="196">
        <v>1711.8970999999995</v>
      </c>
      <c r="K5" s="196">
        <v>800.23248999999998</v>
      </c>
      <c r="L5" s="196">
        <v>842.41180000000008</v>
      </c>
      <c r="M5" s="196">
        <v>677.32203000000015</v>
      </c>
      <c r="N5" s="196">
        <v>2345.6629899999998</v>
      </c>
      <c r="O5" s="196">
        <v>2251.3091300000001</v>
      </c>
      <c r="P5" s="196">
        <v>61445.177140000007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215.23863000000011</v>
      </c>
      <c r="F6" s="198">
        <v>41426.387450000009</v>
      </c>
      <c r="G6" s="198">
        <v>853.68566999999962</v>
      </c>
      <c r="H6" s="198">
        <v>3571.2931799999983</v>
      </c>
      <c r="I6" s="198">
        <v>656.05582000000015</v>
      </c>
      <c r="J6" s="198">
        <v>1527.9894299999994</v>
      </c>
      <c r="K6" s="198">
        <v>691.54808000000003</v>
      </c>
      <c r="L6" s="198">
        <v>756.83708000000001</v>
      </c>
      <c r="M6" s="198">
        <v>586.85594000000015</v>
      </c>
      <c r="N6" s="198">
        <v>2061.4482799999996</v>
      </c>
      <c r="O6" s="198">
        <v>2004.1040900000003</v>
      </c>
      <c r="P6" s="198">
        <v>54351.443650000008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2.7431099999999997</v>
      </c>
      <c r="F7" s="198">
        <v>303.97781000000003</v>
      </c>
      <c r="G7" s="198">
        <v>2.4140699999999997</v>
      </c>
      <c r="H7" s="198">
        <v>143.12975</v>
      </c>
      <c r="I7" s="198">
        <v>2.7338300000000002</v>
      </c>
      <c r="J7" s="198">
        <v>0</v>
      </c>
      <c r="K7" s="198">
        <v>27.73001</v>
      </c>
      <c r="L7" s="198">
        <v>0.29254000000000002</v>
      </c>
      <c r="M7" s="198">
        <v>21.913089999999997</v>
      </c>
      <c r="N7" s="198">
        <v>27.59477</v>
      </c>
      <c r="O7" s="198">
        <v>7.4420300000000008</v>
      </c>
      <c r="P7" s="198">
        <v>539.97101000000009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35.100319999999996</v>
      </c>
      <c r="F8" s="198">
        <v>4976.0349399999959</v>
      </c>
      <c r="G8" s="198">
        <v>102.05668000000001</v>
      </c>
      <c r="H8" s="198">
        <v>438.53349999999995</v>
      </c>
      <c r="I8" s="198">
        <v>86.956839999999985</v>
      </c>
      <c r="J8" s="198">
        <v>183.90767000000002</v>
      </c>
      <c r="K8" s="198">
        <v>80.954400000000007</v>
      </c>
      <c r="L8" s="198">
        <v>85.282179999999997</v>
      </c>
      <c r="M8" s="198">
        <v>68.552999999999997</v>
      </c>
      <c r="N8" s="198">
        <v>256.61994000000004</v>
      </c>
      <c r="O8" s="198">
        <v>239.76300999999995</v>
      </c>
      <c r="P8" s="198">
        <v>6553.762479999993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80.291740000000004</v>
      </c>
      <c r="F9" s="196">
        <v>2121.8589099999981</v>
      </c>
      <c r="G9" s="196">
        <v>5.2279099999999996</v>
      </c>
      <c r="H9" s="196">
        <v>4911.4061600000023</v>
      </c>
      <c r="I9" s="196">
        <v>89.020709999999994</v>
      </c>
      <c r="J9" s="196">
        <v>211.77106000000001</v>
      </c>
      <c r="K9" s="196">
        <v>8.4582899999999999</v>
      </c>
      <c r="L9" s="196">
        <v>14.480529999999998</v>
      </c>
      <c r="M9" s="196">
        <v>0.28526999999999997</v>
      </c>
      <c r="N9" s="196">
        <v>6.0723199999999995</v>
      </c>
      <c r="O9" s="196">
        <v>28286.066609999998</v>
      </c>
      <c r="P9" s="196">
        <v>35734.939509999997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21.870180000000001</v>
      </c>
      <c r="F10" s="198">
        <v>866.19263999999976</v>
      </c>
      <c r="G10" s="198">
        <v>1.1484900000000002</v>
      </c>
      <c r="H10" s="198">
        <v>41.296720000000008</v>
      </c>
      <c r="I10" s="198">
        <v>5.6869999999999994</v>
      </c>
      <c r="J10" s="198">
        <v>33.785359999999997</v>
      </c>
      <c r="K10" s="198">
        <v>0.52</v>
      </c>
      <c r="L10" s="198">
        <v>0</v>
      </c>
      <c r="M10" s="198">
        <v>0</v>
      </c>
      <c r="N10" s="198">
        <v>0</v>
      </c>
      <c r="O10" s="198">
        <v>99.198459999999997</v>
      </c>
      <c r="P10" s="198">
        <v>1069.6988499999998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58.421559999999999</v>
      </c>
      <c r="F11" s="198">
        <v>1255.6662699999981</v>
      </c>
      <c r="G11" s="198">
        <v>4.0794199999999998</v>
      </c>
      <c r="H11" s="198">
        <v>4870.109440000002</v>
      </c>
      <c r="I11" s="198">
        <v>83.333709999999996</v>
      </c>
      <c r="J11" s="198">
        <v>177.98570000000001</v>
      </c>
      <c r="K11" s="198">
        <v>7.9382899999999994</v>
      </c>
      <c r="L11" s="198">
        <v>14.480529999999998</v>
      </c>
      <c r="M11" s="198">
        <v>0.28526999999999997</v>
      </c>
      <c r="N11" s="198">
        <v>6.0723199999999995</v>
      </c>
      <c r="O11" s="198">
        <v>28186.868149999998</v>
      </c>
      <c r="P11" s="198">
        <v>34665.240659999996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1.4798399999999998</v>
      </c>
      <c r="G12" s="198">
        <v>7.4400000000000004E-3</v>
      </c>
      <c r="H12" s="198">
        <v>19686.75246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19688.239740000001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1860</v>
      </c>
      <c r="E13" s="196">
        <v>0</v>
      </c>
      <c r="F13" s="196">
        <v>10864.155870000001</v>
      </c>
      <c r="G13" s="196">
        <v>601.53550000000007</v>
      </c>
      <c r="H13" s="196">
        <v>1187.12051</v>
      </c>
      <c r="I13" s="196">
        <v>46245.396140000004</v>
      </c>
      <c r="J13" s="196">
        <v>536.92775000000006</v>
      </c>
      <c r="K13" s="196">
        <v>957.83853999999997</v>
      </c>
      <c r="L13" s="196">
        <v>1213.2928300000001</v>
      </c>
      <c r="M13" s="196">
        <v>2.8189599999999997</v>
      </c>
      <c r="N13" s="196">
        <v>481.68967000000004</v>
      </c>
      <c r="O13" s="196">
        <v>5.5909300000000002</v>
      </c>
      <c r="P13" s="196">
        <v>63956.366699999999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1860</v>
      </c>
      <c r="E14" s="200">
        <v>0</v>
      </c>
      <c r="F14" s="200">
        <v>3461.1243399999994</v>
      </c>
      <c r="G14" s="200">
        <v>598.81802000000005</v>
      </c>
      <c r="H14" s="200">
        <v>1169.90437</v>
      </c>
      <c r="I14" s="200">
        <v>46241.125270000004</v>
      </c>
      <c r="J14" s="200">
        <v>0</v>
      </c>
      <c r="K14" s="200">
        <v>607.87530000000004</v>
      </c>
      <c r="L14" s="200">
        <v>1212.7808300000002</v>
      </c>
      <c r="M14" s="200">
        <v>0</v>
      </c>
      <c r="N14" s="200">
        <v>474.80241000000001</v>
      </c>
      <c r="O14" s="200">
        <v>0</v>
      </c>
      <c r="P14" s="200">
        <v>55626.430540000001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1860</v>
      </c>
      <c r="E16" s="198">
        <v>0</v>
      </c>
      <c r="F16" s="198">
        <v>3461.1243399999994</v>
      </c>
      <c r="G16" s="198">
        <v>598.81802000000005</v>
      </c>
      <c r="H16" s="198">
        <v>1169.90437</v>
      </c>
      <c r="I16" s="198">
        <v>46241.125270000004</v>
      </c>
      <c r="J16" s="198">
        <v>0</v>
      </c>
      <c r="K16" s="198">
        <v>607.87530000000004</v>
      </c>
      <c r="L16" s="198">
        <v>1212.7808300000002</v>
      </c>
      <c r="M16" s="198">
        <v>0</v>
      </c>
      <c r="N16" s="198">
        <v>474.80241000000001</v>
      </c>
      <c r="O16" s="198">
        <v>0</v>
      </c>
      <c r="P16" s="198">
        <v>55626.430540000001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0</v>
      </c>
      <c r="F19" s="200">
        <v>7403.0315300000011</v>
      </c>
      <c r="G19" s="200">
        <v>2.7174800000000001</v>
      </c>
      <c r="H19" s="200">
        <v>17.216139999999996</v>
      </c>
      <c r="I19" s="200">
        <v>4.2708700000000004</v>
      </c>
      <c r="J19" s="200">
        <v>536.92775000000006</v>
      </c>
      <c r="K19" s="200">
        <v>349.96323999999998</v>
      </c>
      <c r="L19" s="200">
        <v>0.51200000000000001</v>
      </c>
      <c r="M19" s="200">
        <v>2.8189599999999997</v>
      </c>
      <c r="N19" s="200">
        <v>6.8872600000000004</v>
      </c>
      <c r="O19" s="200">
        <v>5.5909300000000002</v>
      </c>
      <c r="P19" s="200">
        <v>8329.9361600000029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2437.2199700000006</v>
      </c>
      <c r="G20" s="198">
        <v>0</v>
      </c>
      <c r="H20" s="198">
        <v>0</v>
      </c>
      <c r="I20" s="198">
        <v>0</v>
      </c>
      <c r="J20" s="198">
        <v>35</v>
      </c>
      <c r="K20" s="198">
        <v>0</v>
      </c>
      <c r="L20" s="198">
        <v>0</v>
      </c>
      <c r="M20" s="198">
        <v>0</v>
      </c>
      <c r="N20" s="198">
        <v>0</v>
      </c>
      <c r="O20" s="198">
        <v>0.58341999999999994</v>
      </c>
      <c r="P20" s="198">
        <v>2472.8033900000005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0</v>
      </c>
      <c r="F22" s="198">
        <v>3843.8167400000007</v>
      </c>
      <c r="G22" s="198">
        <v>0</v>
      </c>
      <c r="H22" s="198">
        <v>0</v>
      </c>
      <c r="I22" s="198">
        <v>0</v>
      </c>
      <c r="J22" s="198">
        <v>429.19915000000003</v>
      </c>
      <c r="K22" s="198">
        <v>346.95036999999996</v>
      </c>
      <c r="L22" s="198">
        <v>0</v>
      </c>
      <c r="M22" s="198">
        <v>0</v>
      </c>
      <c r="N22" s="198">
        <v>0</v>
      </c>
      <c r="O22" s="198">
        <v>0</v>
      </c>
      <c r="P22" s="198">
        <v>4619.9662600000001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1121.9948200000001</v>
      </c>
      <c r="G23" s="198">
        <v>2.7174800000000001</v>
      </c>
      <c r="H23" s="198">
        <v>17.216139999999996</v>
      </c>
      <c r="I23" s="198">
        <v>4.2708700000000004</v>
      </c>
      <c r="J23" s="198">
        <v>45.7836</v>
      </c>
      <c r="K23" s="198">
        <v>3.0128699999999995</v>
      </c>
      <c r="L23" s="198">
        <v>0.51200000000000001</v>
      </c>
      <c r="M23" s="198">
        <v>2.8189599999999997</v>
      </c>
      <c r="N23" s="198">
        <v>6.8872600000000004</v>
      </c>
      <c r="O23" s="198">
        <v>5.0075099999999999</v>
      </c>
      <c r="P23" s="198">
        <v>1210.2215100000001</v>
      </c>
    </row>
    <row r="24" spans="2:16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26.945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26.945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10.999660000000004</v>
      </c>
      <c r="G26" s="198">
        <v>0.60693000000000008</v>
      </c>
      <c r="H26" s="198">
        <v>40.412519999999994</v>
      </c>
      <c r="I26" s="198">
        <v>0</v>
      </c>
      <c r="J26" s="198">
        <v>0.82713999999999999</v>
      </c>
      <c r="K26" s="198">
        <v>0</v>
      </c>
      <c r="L26" s="198">
        <v>5.0987900000000002</v>
      </c>
      <c r="M26" s="198">
        <v>7.1977500000000001</v>
      </c>
      <c r="N26" s="198">
        <v>5.72166</v>
      </c>
      <c r="O26" s="198">
        <v>1.53</v>
      </c>
      <c r="P26" s="198">
        <v>72.394450000000006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0</v>
      </c>
      <c r="E27" s="32">
        <v>0</v>
      </c>
      <c r="F27" s="32">
        <v>2913.0374399999992</v>
      </c>
      <c r="G27" s="32">
        <v>228.53672999999998</v>
      </c>
      <c r="H27" s="32">
        <v>293.00002000000001</v>
      </c>
      <c r="I27" s="32">
        <v>0</v>
      </c>
      <c r="J27" s="32">
        <v>54.107009999999995</v>
      </c>
      <c r="K27" s="32">
        <v>0</v>
      </c>
      <c r="L27" s="32">
        <v>465.20651999999995</v>
      </c>
      <c r="M27" s="32">
        <v>0</v>
      </c>
      <c r="N27" s="32">
        <v>1683.404</v>
      </c>
      <c r="O27" s="32">
        <v>4632.9990200000011</v>
      </c>
      <c r="P27" s="32">
        <v>10270.29074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0</v>
      </c>
      <c r="F28" s="198">
        <v>1114.8997999999995</v>
      </c>
      <c r="G28" s="198">
        <v>0</v>
      </c>
      <c r="H28" s="198">
        <v>119.13051000000002</v>
      </c>
      <c r="I28" s="198">
        <v>0</v>
      </c>
      <c r="J28" s="198">
        <v>54.107009999999995</v>
      </c>
      <c r="K28" s="198">
        <v>0</v>
      </c>
      <c r="L28" s="198">
        <v>0</v>
      </c>
      <c r="M28" s="198">
        <v>0</v>
      </c>
      <c r="N28" s="198">
        <v>0</v>
      </c>
      <c r="O28" s="198">
        <v>4632.9990200000011</v>
      </c>
      <c r="P28" s="198">
        <v>5921.1363400000009</v>
      </c>
    </row>
    <row r="29" spans="2:16" ht="15" customHeight="1">
      <c r="C29" s="104" t="str">
        <f>+IF(Índice!$D$2=1,"Transferências capital","Capital transfers")</f>
        <v>Capital transfers</v>
      </c>
      <c r="D29" s="196">
        <v>0</v>
      </c>
      <c r="E29" s="196">
        <v>0</v>
      </c>
      <c r="F29" s="196">
        <v>1798.1376399999999</v>
      </c>
      <c r="G29" s="196">
        <v>228.53672999999998</v>
      </c>
      <c r="H29" s="196">
        <v>173.86950999999999</v>
      </c>
      <c r="I29" s="196">
        <v>0</v>
      </c>
      <c r="J29" s="196">
        <v>0</v>
      </c>
      <c r="K29" s="196">
        <v>0</v>
      </c>
      <c r="L29" s="196">
        <v>465.20651999999995</v>
      </c>
      <c r="M29" s="196">
        <v>0</v>
      </c>
      <c r="N29" s="196">
        <v>1683.404</v>
      </c>
      <c r="O29" s="196">
        <v>0</v>
      </c>
      <c r="P29" s="196">
        <v>4349.1543999999994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0</v>
      </c>
      <c r="E30" s="200">
        <v>0</v>
      </c>
      <c r="F30" s="200">
        <v>1738.1376399999999</v>
      </c>
      <c r="G30" s="200">
        <v>228.53672999999998</v>
      </c>
      <c r="H30" s="200">
        <v>155.15286</v>
      </c>
      <c r="I30" s="200">
        <v>0</v>
      </c>
      <c r="J30" s="200">
        <v>0</v>
      </c>
      <c r="K30" s="200">
        <v>0</v>
      </c>
      <c r="L30" s="200">
        <v>42.706829999999997</v>
      </c>
      <c r="M30" s="200">
        <v>0</v>
      </c>
      <c r="N30" s="200">
        <v>1683.404</v>
      </c>
      <c r="O30" s="200">
        <v>0</v>
      </c>
      <c r="P30" s="200">
        <v>3847.93806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1683.404</v>
      </c>
      <c r="O31" s="198">
        <v>0</v>
      </c>
      <c r="P31" s="198">
        <v>1683.404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0</v>
      </c>
      <c r="E32" s="198">
        <v>0</v>
      </c>
      <c r="F32" s="198">
        <v>1738.1376399999999</v>
      </c>
      <c r="G32" s="198">
        <v>228.53672999999998</v>
      </c>
      <c r="H32" s="198">
        <v>155.15286</v>
      </c>
      <c r="I32" s="198">
        <v>0</v>
      </c>
      <c r="J32" s="198">
        <v>0</v>
      </c>
      <c r="K32" s="198">
        <v>0</v>
      </c>
      <c r="L32" s="198">
        <v>42.706829999999997</v>
      </c>
      <c r="M32" s="198">
        <v>0</v>
      </c>
      <c r="N32" s="198">
        <v>0</v>
      </c>
      <c r="O32" s="198">
        <v>0</v>
      </c>
      <c r="P32" s="198">
        <v>2164.53406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60</v>
      </c>
      <c r="G35" s="200">
        <v>0</v>
      </c>
      <c r="H35" s="200">
        <v>18.716650000000001</v>
      </c>
      <c r="I35" s="200">
        <v>0</v>
      </c>
      <c r="J35" s="200">
        <v>0</v>
      </c>
      <c r="K35" s="200">
        <v>0</v>
      </c>
      <c r="L35" s="200">
        <v>422.49968999999999</v>
      </c>
      <c r="M35" s="200">
        <v>0</v>
      </c>
      <c r="N35" s="200">
        <v>0</v>
      </c>
      <c r="O35" s="200">
        <v>0</v>
      </c>
      <c r="P35" s="200">
        <v>501.21634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1860</v>
      </c>
      <c r="E38" s="204">
        <v>333.37380000000013</v>
      </c>
      <c r="F38" s="204">
        <v>62617.931920000003</v>
      </c>
      <c r="G38" s="204">
        <v>1794.0709299999996</v>
      </c>
      <c r="H38" s="204">
        <v>30271.648100000002</v>
      </c>
      <c r="I38" s="204">
        <v>47080.163340000006</v>
      </c>
      <c r="J38" s="204">
        <v>2515.5300599999996</v>
      </c>
      <c r="K38" s="204">
        <v>1766.5293200000001</v>
      </c>
      <c r="L38" s="204">
        <v>2540.4904699999997</v>
      </c>
      <c r="M38" s="204">
        <v>687.62401000000011</v>
      </c>
      <c r="N38" s="204">
        <v>4522.5506400000004</v>
      </c>
      <c r="O38" s="204">
        <v>35177.495689999996</v>
      </c>
      <c r="P38" s="204">
        <v>191167.40827999997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0</v>
      </c>
      <c r="O40" s="208">
        <v>0</v>
      </c>
      <c r="P40" s="208">
        <v>0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49924.201989999994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49924.201989999994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22010.334220000004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Note: Organic structure approved by Regional Legislative Decree nr. 18/2020/M of january 31st, in force under Article 19th of Regional Regulatory Decree nr. 9/2021/M of august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4" t="str">
        <f>+IF(Índice!$D$2=1,"Fonte: Secretaria Regional das Finanças","Source: Regional Finance Secretariat")</f>
        <v>Source: Regional Finance Secretariat</v>
      </c>
      <c r="D47" s="334" t="str">
        <f>+IF(Índice!$D$2="PT","Fonte: Vice-Presidência do Governo Regional","Source: Vice-Presidency of the Regional Government")</f>
        <v>Source: Vice-Presidency of the Regional Government</v>
      </c>
      <c r="E47" s="334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I15" sqref="I15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(janeiro-fevereiro)","TABLE IX - RPEs global balance (january-february)")</f>
        <v>TABLE IX - RPEs global balance (january-february)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108.19256999997015</v>
      </c>
      <c r="E5" s="82">
        <v>27868.83178</v>
      </c>
    </row>
    <row r="6" spans="2:7">
      <c r="B6" s="29"/>
      <c r="C6" s="103"/>
      <c r="D6" s="103"/>
      <c r="E6" s="103"/>
    </row>
    <row r="7" spans="2:7">
      <c r="B7" s="29"/>
      <c r="C7" s="334" t="str">
        <f>+IF(Índice!$D$2=1,"Fonte: Secretaria Regional das Finanças","Source: Regional Finance Secretariat")</f>
        <v>Source: Regional Finance Secretariat</v>
      </c>
      <c r="D7" s="334" t="str">
        <f>+IF(Índice!$D$2="PT","Fonte: Vice-Presidência do Governo Regional","Source: Vice-Presidency of the Regional Government")</f>
        <v>Source: Vice-Presidency of the Regional Government</v>
      </c>
      <c r="E7" s="334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I15" sqref="I15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5" t="str">
        <f>+IF(Índice!$D$2=1,"QUADRO X - Execução orçamental dos Serviços e Fundos Autónomos e EPR (janeiro-fevereiro)","TABLE X - ASFs and RPEs budget execution (january-february)")</f>
        <v>TABLE X - ASFs and RPEs budget execution (january-february)</v>
      </c>
      <c r="D2" s="336"/>
      <c r="E2" s="336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2284.2705600000045</v>
      </c>
      <c r="E4" s="98">
        <v>27868.83178</v>
      </c>
      <c r="F4" s="98">
        <v>30153.102340000005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86381.396640000006</v>
      </c>
      <c r="E7" s="74">
        <v>50381.11318</v>
      </c>
      <c r="F7" s="74">
        <v>136762.50982000001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2284.5306400000045</v>
      </c>
      <c r="E8" s="74">
        <v>27943.570159999999</v>
      </c>
      <c r="F8" s="74">
        <v>30228.100800000004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1624.6798400000116</v>
      </c>
      <c r="E9" s="74">
        <v>25002.12414</v>
      </c>
      <c r="F9" s="74">
        <v>26626.803980000026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659.59072000000037</v>
      </c>
      <c r="E10" s="74">
        <v>2866.7076399999996</v>
      </c>
      <c r="F10" s="74">
        <v>3526.2983599999998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4" t="str">
        <f>+IF(Índice!$D$2=1,"Fonte: Secretaria Regional das Finanças","Source: Regional Finance Secretariat")</f>
        <v>Source: Regional Finance Secretariat</v>
      </c>
      <c r="D12" s="334" t="str">
        <f>+IF(Índice!$D$2="PT","Fonte: Vice-Presidência do Governo Regional","Source: Vice-Presidency of the Regional Government")</f>
        <v>Source: Vice-Presidency of the Regional Government</v>
      </c>
      <c r="E12" s="334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I15" sqref="I15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(janeiro-fevereiro)","TABLE XI - ASFs and RPEs budget execution (january-february)")</f>
        <v>TABLE XI - ASFs and RPEs budget execution (january-february)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87049.767290000003</v>
      </c>
      <c r="E4" s="108">
        <v>73242.988400000002</v>
      </c>
      <c r="F4" s="108">
        <v>160292.75569000002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690.44022999999993</v>
      </c>
      <c r="E8" s="74">
        <v>2089.09204</v>
      </c>
      <c r="F8" s="74">
        <v>2779.5322699999997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85135.661970000001</v>
      </c>
      <c r="E9" s="74">
        <v>63479.296289999998</v>
      </c>
      <c r="F9" s="74">
        <v>148614.95825999998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3854.5030999999994</v>
      </c>
      <c r="E10" s="74">
        <v>421.89059999999995</v>
      </c>
      <c r="F10" s="74">
        <v>4276.3936999999996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81256.032290000003</v>
      </c>
      <c r="E11" s="74">
        <v>63057.40569</v>
      </c>
      <c r="F11" s="74">
        <v>144313.43797999999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884.5540500000003</v>
      </c>
      <c r="E12" s="74">
        <v>4751.7660800000012</v>
      </c>
      <c r="F12" s="74">
        <v>5636.3201300000019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339.11103999999995</v>
      </c>
      <c r="E13" s="74">
        <v>2922.8339899999996</v>
      </c>
      <c r="F13" s="74">
        <v>3261.9450299999994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1616.1599900000003</v>
      </c>
      <c r="E14" s="83">
        <v>5081.6949399999994</v>
      </c>
      <c r="F14" s="83">
        <v>6697.8549299999995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181.6</v>
      </c>
      <c r="F15" s="34">
        <v>181.6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1602.9724300000003</v>
      </c>
      <c r="E16" s="34">
        <v>4893.0887699999994</v>
      </c>
      <c r="F16" s="74">
        <v>6496.0612000000001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1307.13075</v>
      </c>
      <c r="E17" s="34">
        <v>1793.7905799999999</v>
      </c>
      <c r="F17" s="74">
        <v>3100.9213300000001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295.84168000000022</v>
      </c>
      <c r="E18" s="74">
        <v>3099.2981899999995</v>
      </c>
      <c r="F18" s="74">
        <v>3395.13987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0</v>
      </c>
      <c r="F19" s="74">
        <v>0</v>
      </c>
    </row>
    <row r="20" spans="2:6" ht="11.25" customHeight="1">
      <c r="C20" s="110" t="str">
        <f>+IF(Índice!$D$2=1,"Receita efetiva","Effective revenue")</f>
        <v>Effective revenue</v>
      </c>
      <c r="D20" s="83">
        <v>88665.927280000004</v>
      </c>
      <c r="E20" s="83">
        <v>78324.683340000003</v>
      </c>
      <c r="F20" s="83">
        <v>166990.61061999999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85425.087449999992</v>
      </c>
      <c r="E22" s="83">
        <v>48240.864260000002</v>
      </c>
      <c r="F22" s="83">
        <v>133665.95170999999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8038.7428900000014</v>
      </c>
      <c r="E23" s="74">
        <v>39572.704930000007</v>
      </c>
      <c r="F23" s="74">
        <v>47611.447820000009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11447.498710000005</v>
      </c>
      <c r="E24" s="74">
        <v>6344.5418499999978</v>
      </c>
      <c r="F24" s="74">
        <v>17792.040560000001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0.26008000000000003</v>
      </c>
      <c r="E25" s="74">
        <v>74.738380000000006</v>
      </c>
      <c r="F25" s="74">
        <v>74.998460000000009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65349.63734999999</v>
      </c>
      <c r="E26" s="74">
        <v>2111.6456099999996</v>
      </c>
      <c r="F26" s="74">
        <v>67461.282959999982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406.53602999999998</v>
      </c>
      <c r="E27" s="74">
        <v>0</v>
      </c>
      <c r="F27" s="59">
        <v>406.53602999999998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64943.101319999987</v>
      </c>
      <c r="E28" s="74">
        <v>2111.6456099999996</v>
      </c>
      <c r="F28" s="59">
        <v>67054.746929999994</v>
      </c>
    </row>
    <row r="29" spans="2:6" ht="11.25" customHeight="1">
      <c r="C29" s="104" t="str">
        <f>+IF(Índice!$D$2=1,"Subsídios","Subsidies")</f>
        <v>Subsidies</v>
      </c>
      <c r="D29" s="74">
        <v>561.72254999999996</v>
      </c>
      <c r="E29" s="74">
        <v>0</v>
      </c>
      <c r="F29" s="74">
        <v>561.72254999999996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27.225870000000004</v>
      </c>
      <c r="E30" s="74">
        <v>137.23349000000002</v>
      </c>
      <c r="F30" s="74">
        <v>164.45936000000003</v>
      </c>
    </row>
    <row r="31" spans="2:6" ht="11.25" customHeight="1">
      <c r="C31" s="110" t="str">
        <f>+IF(Índice!$D$2=1,"Despesa de capital","Capital expenditure")</f>
        <v>Capital expenditure</v>
      </c>
      <c r="D31" s="83">
        <v>956.56926999999996</v>
      </c>
      <c r="E31" s="83">
        <v>2214.9872999999998</v>
      </c>
      <c r="F31" s="83">
        <v>3171.5565699999997</v>
      </c>
    </row>
    <row r="32" spans="2:6" ht="11.25" customHeight="1">
      <c r="C32" s="104" t="str">
        <f>+IF(Índice!$D$2=1,"Investimento","Investment")</f>
        <v>Investment</v>
      </c>
      <c r="D32" s="74">
        <v>240.44653</v>
      </c>
      <c r="E32" s="74">
        <v>2214.9872999999998</v>
      </c>
      <c r="F32" s="74">
        <v>2455.4338299999999</v>
      </c>
    </row>
    <row r="33" spans="3:6" ht="11.25" customHeight="1">
      <c r="C33" s="104" t="str">
        <f>+IF(Índice!$D$2=1,"Transferências capital","Capital transfers")</f>
        <v>Capital transfers</v>
      </c>
      <c r="D33" s="74">
        <v>716.12274000000002</v>
      </c>
      <c r="E33" s="74">
        <v>0</v>
      </c>
      <c r="F33" s="74">
        <v>716.12274000000002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86381.656719999999</v>
      </c>
      <c r="E36" s="83">
        <v>50455.851560000003</v>
      </c>
      <c r="F36" s="83">
        <v>136837.50828000001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1270.38879</v>
      </c>
      <c r="E38" s="35">
        <v>0</v>
      </c>
      <c r="F38" s="35">
        <v>1270.38879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284.08742999999998</v>
      </c>
      <c r="F39" s="35">
        <v>284.08742999999998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2284.2705600000045</v>
      </c>
      <c r="E44" s="114">
        <v>27868.83178</v>
      </c>
      <c r="F44" s="114">
        <v>30153.102340000005</v>
      </c>
    </row>
    <row r="45" spans="3:6" ht="15" customHeight="1">
      <c r="C45" s="334" t="str">
        <f>+IF(Índice!$D$2=1,"Fonte: Secretaria Regional das Finanças","Source: Regional Finance Secretariat")</f>
        <v>Source: Regional Finance Secretariat</v>
      </c>
      <c r="D45" s="334" t="str">
        <f>+IF(Índice!$D$2="PT","Fonte: Vice-Presidência do Governo Regional","Source: Vice-Presidency of the Regional Government")</f>
        <v>Source: Vice-Presidency of the Regional Government</v>
      </c>
      <c r="E45" s="334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I15" sqref="I15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(fevereiro)","TABLE XII - ASFs and RPEs budget execution (february)")</f>
        <v>TABLE XII - ASFs and RPEs budget execution (february)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+IF(Índice!$D$2=1,"fevereiro 2024","february 2024")</f>
        <v>february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53126.625660000005</v>
      </c>
      <c r="E5" s="317">
        <v>52440.190289999991</v>
      </c>
      <c r="F5" s="317">
        <v>105566.81594999999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53126.625660000005</v>
      </c>
      <c r="E9" s="74">
        <v>52440.190289999991</v>
      </c>
      <c r="F9" s="74">
        <v>105566.81594999999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52126.782120000003</v>
      </c>
      <c r="E10" s="74">
        <v>45986.508989999995</v>
      </c>
      <c r="F10" s="74">
        <v>98113.291109999991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1119.2612300000001</v>
      </c>
      <c r="E11" s="83">
        <v>3299.1810599999994</v>
      </c>
      <c r="F11" s="83">
        <v>4418.442289999999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0</v>
      </c>
      <c r="F12" s="34">
        <v>0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1109.4718600000001</v>
      </c>
      <c r="E13" s="34">
        <v>3298.6797299999994</v>
      </c>
      <c r="F13" s="74">
        <v>4408.1515899999995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54245.886890000009</v>
      </c>
      <c r="E15" s="83">
        <v>55739.371349999994</v>
      </c>
      <c r="F15" s="83">
        <v>109985.25824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62523.387289999999</v>
      </c>
      <c r="E17" s="83">
        <v>34419.433010000001</v>
      </c>
      <c r="F17" s="83">
        <v>96942.820299999992</v>
      </c>
    </row>
    <row r="18" spans="3:6" ht="11.25" customHeight="1">
      <c r="C18" s="104" t="str">
        <f>+IF(Índice!$D$2=1,"Consumo público","Public consumption")</f>
        <v>Public consumption</v>
      </c>
      <c r="D18" s="74">
        <v>14750.632860000005</v>
      </c>
      <c r="E18" s="74">
        <v>33289.867680000003</v>
      </c>
      <c r="F18" s="74">
        <v>48040.500540000008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4311.3465999999999</v>
      </c>
      <c r="E19" s="74">
        <v>27594.796430000006</v>
      </c>
      <c r="F19" s="74">
        <v>31906.143030000007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10439.286260000004</v>
      </c>
      <c r="E20" s="74">
        <v>5695.0712499999972</v>
      </c>
      <c r="F20" s="74">
        <v>16134.357510000002</v>
      </c>
    </row>
    <row r="21" spans="3:6" ht="11.25" customHeight="1">
      <c r="C21" s="104" t="str">
        <f>+IF(Índice!$D$2=1,"Subsídios","Subsidies")</f>
        <v>Subsidies</v>
      </c>
      <c r="D21" s="74">
        <v>282.95244999999994</v>
      </c>
      <c r="E21" s="74">
        <v>0</v>
      </c>
      <c r="F21" s="74">
        <v>282.95244999999994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8.6860000000000048E-2</v>
      </c>
      <c r="E22" s="74">
        <v>56.421040000000005</v>
      </c>
      <c r="F22" s="59">
        <v>56.507900000000006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47489.715119999993</v>
      </c>
      <c r="E23" s="74">
        <v>1073.1442899999995</v>
      </c>
      <c r="F23" s="59">
        <v>48562.85940999999</v>
      </c>
    </row>
    <row r="24" spans="3:6" ht="11.25" customHeight="1">
      <c r="C24" s="110" t="str">
        <f>+IF(Índice!$D$2=1,"Despesa de capital","Capital expenditure")</f>
        <v>Capital expenditure</v>
      </c>
      <c r="D24" s="83">
        <v>956.56926999999996</v>
      </c>
      <c r="E24" s="83">
        <v>1785.2042699999997</v>
      </c>
      <c r="F24" s="83">
        <v>2741.7735399999997</v>
      </c>
    </row>
    <row r="25" spans="3:6" ht="11.25" customHeight="1">
      <c r="C25" s="104" t="str">
        <f>+IF(Índice!$D$2=1,"Investimento","Investment")</f>
        <v>Investment</v>
      </c>
      <c r="D25" s="74">
        <v>240.44653</v>
      </c>
      <c r="E25" s="74">
        <v>1785.2042699999997</v>
      </c>
      <c r="F25" s="74">
        <v>2025.6507999999997</v>
      </c>
    </row>
    <row r="26" spans="3:6" ht="11.25" customHeight="1">
      <c r="C26" s="104" t="str">
        <f>+IF(Índice!$D$2=1,"Transferências capital","Capital transfers")</f>
        <v>Capital transfers</v>
      </c>
      <c r="D26" s="74">
        <v>716.12274000000002</v>
      </c>
      <c r="E26" s="74">
        <v>0</v>
      </c>
      <c r="F26" s="74">
        <v>716.12274000000002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63479.956559999999</v>
      </c>
      <c r="E29" s="83">
        <v>36204.637280000003</v>
      </c>
      <c r="F29" s="83">
        <v>99684.593840000001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-9234.0696699999899</v>
      </c>
      <c r="E31" s="319">
        <v>19534.734069999991</v>
      </c>
      <c r="F31" s="319">
        <v>10300.664400000001</v>
      </c>
    </row>
    <row r="32" spans="3:6" ht="15" customHeight="1">
      <c r="C32" s="334" t="str">
        <f>+IF(Índice!$D$2=1,"Fonte: Secretaria Regional das Finanças","Source: Regional Finance Secretariat")</f>
        <v>Source: Regional Finance Secretariat</v>
      </c>
      <c r="D32" s="334"/>
      <c r="E32" s="334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20" zoomScale="120" zoomScaleNormal="120" zoomScaleSheetLayoutView="100" zoomScalePageLayoutView="150" workbookViewId="0">
      <selection activeCell="I15" sqref="I15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fevereiro de 2024 (valores acumulados)","Table XIII- Accounts payable of the Regional Administration, february (accumulated)")</f>
        <v>Table XIII- Accounts payable of the Regional Administration, february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40" t="s">
        <v>7</v>
      </c>
      <c r="D3" s="337" t="str">
        <f>+IF(Índice!$D$2=1,"fevereiro 2024","february 2024")</f>
        <v>february 2024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44" t="str">
        <f>+IF(Índice!$D$2=1,"Variação face ao stock inicial de janeiro","Change from period initial stock")</f>
        <v>Change from period initial stock</v>
      </c>
      <c r="H3" s="345"/>
      <c r="I3" s="345"/>
    </row>
    <row r="4" spans="2:11" ht="12.75" customHeight="1">
      <c r="C4" s="340"/>
      <c r="D4" s="352" t="str">
        <f>+IF(Índice!$D$2=1,"Stock final do período","Accumulated")</f>
        <v>Accumulated</v>
      </c>
      <c r="E4" s="352"/>
      <c r="F4" s="352"/>
      <c r="G4" s="349" t="str">
        <f>+IF(Índice!$D$2=1,"Passivo","Liabilities")</f>
        <v>Liabilities</v>
      </c>
      <c r="H4" s="349" t="str">
        <f>+IF(Índice!$D$2=1,"Contas a pagar","Accounts payable")</f>
        <v>Accounts payable</v>
      </c>
      <c r="I4" s="338" t="str">
        <f>+IF(Índice!$D$2=1,"Pagamentos em atraso","Late payments")</f>
        <v>Late payments</v>
      </c>
    </row>
    <row r="5" spans="2:11" ht="22.5">
      <c r="B5" s="29"/>
      <c r="C5" s="340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50"/>
      <c r="H5" s="350"/>
      <c r="I5" s="339"/>
    </row>
    <row r="6" spans="2:11">
      <c r="B6" s="29"/>
      <c r="C6" s="119" t="str">
        <f>+IF(Índice!$D$2=1,"Despesa corrente","Current expenditure")</f>
        <v>Current expenditure</v>
      </c>
      <c r="D6" s="162">
        <v>174772950.11999887</v>
      </c>
      <c r="E6" s="162">
        <v>160135363.20999891</v>
      </c>
      <c r="F6" s="162">
        <v>44067736.939999998</v>
      </c>
      <c r="G6" s="91">
        <v>3.9311534819401306E-2</v>
      </c>
      <c r="H6" s="91">
        <v>9.8011410025291568E-3</v>
      </c>
      <c r="I6" s="116">
        <v>0.18020782354023757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5080186.3000000007</v>
      </c>
      <c r="E7" s="165">
        <v>4440108.18</v>
      </c>
      <c r="F7" s="165">
        <v>637.06999999999994</v>
      </c>
      <c r="G7" s="95">
        <v>2.9740197659399161</v>
      </c>
      <c r="H7" s="95">
        <v>5.1456626070525155</v>
      </c>
      <c r="I7" s="121">
        <v>0.17770917292121102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109804335.30999888</v>
      </c>
      <c r="E8" s="165">
        <v>109088121.89999889</v>
      </c>
      <c r="F8" s="165">
        <v>42482029.490000002</v>
      </c>
      <c r="G8" s="95">
        <v>8.390142157799918E-2</v>
      </c>
      <c r="H8" s="95">
        <v>8.3628466582452932E-2</v>
      </c>
      <c r="I8" s="121">
        <v>0.18807238590521314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14496047.449999999</v>
      </c>
      <c r="E9" s="165">
        <v>9308445.3000000007</v>
      </c>
      <c r="F9" s="165">
        <v>321965.44000000006</v>
      </c>
      <c r="G9" s="95">
        <v>0.37727143272508146</v>
      </c>
      <c r="H9" s="95">
        <v>0.7439370034956323</v>
      </c>
      <c r="I9" s="121">
        <v>1.6339826643751998E-4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42172582.299999997</v>
      </c>
      <c r="E10" s="165">
        <v>34086597.890000001</v>
      </c>
      <c r="F10" s="165">
        <v>1262204.19</v>
      </c>
      <c r="G10" s="95">
        <v>-0.2071528087922152</v>
      </c>
      <c r="H10" s="95">
        <v>-0.31820879277143477</v>
      </c>
      <c r="I10" s="121">
        <v>2.4300310012888016E-3</v>
      </c>
    </row>
    <row r="11" spans="2:11">
      <c r="B11" s="29"/>
      <c r="C11" s="120" t="str">
        <f>+IF(Índice!$D$2=1,"Subsídios","Subsidies")</f>
        <v>Subsidies</v>
      </c>
      <c r="D11" s="165">
        <v>3083918.0700000003</v>
      </c>
      <c r="E11" s="165">
        <v>3083918.0700000003</v>
      </c>
      <c r="F11" s="165">
        <v>0</v>
      </c>
      <c r="G11" s="95">
        <v>0.66725394417806516</v>
      </c>
      <c r="H11" s="95">
        <v>0.66725394417806516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135880.69</v>
      </c>
      <c r="E12" s="165">
        <v>128171.87</v>
      </c>
      <c r="F12" s="165">
        <v>900.75</v>
      </c>
      <c r="G12" s="95">
        <v>9.487647669929439</v>
      </c>
      <c r="H12" s="95">
        <v>19.188615972983531</v>
      </c>
      <c r="I12" s="121">
        <v>2.4644230769230768</v>
      </c>
    </row>
    <row r="13" spans="2:11">
      <c r="B13" s="29"/>
      <c r="C13" s="115" t="str">
        <f>+IF(Índice!$D$2=1,"Despesa de capital","Capital expenditure")</f>
        <v>Capital expenditure</v>
      </c>
      <c r="D13" s="163">
        <v>44023242.149999999</v>
      </c>
      <c r="E13" s="163">
        <v>28309729.960000001</v>
      </c>
      <c r="F13" s="163">
        <v>294956.95</v>
      </c>
      <c r="G13" s="92">
        <v>-5.6067728368148773E-2</v>
      </c>
      <c r="H13" s="92">
        <v>-0.10056568822840573</v>
      </c>
      <c r="I13" s="117">
        <v>2.2769939018757679E-2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23017218.91</v>
      </c>
      <c r="E14" s="165">
        <v>13960867.32</v>
      </c>
      <c r="F14" s="165">
        <v>294956.95</v>
      </c>
      <c r="G14" s="95">
        <v>-7.0259898300923718E-2</v>
      </c>
      <c r="H14" s="95">
        <v>-0.1153910219430726</v>
      </c>
      <c r="I14" s="121">
        <v>2.2769939018757679E-2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21006023.240000002</v>
      </c>
      <c r="E15" s="165">
        <v>14348862.640000001</v>
      </c>
      <c r="F15" s="165">
        <v>0</v>
      </c>
      <c r="G15" s="95">
        <v>-4.0010795374228358E-2</v>
      </c>
      <c r="H15" s="95">
        <v>-8.5656379916781988E-2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218796192.26999888</v>
      </c>
      <c r="E17" s="164">
        <v>188445093.16999888</v>
      </c>
      <c r="F17" s="164">
        <v>44362693.890000001</v>
      </c>
      <c r="G17" s="147">
        <v>1.8602487274753221E-2</v>
      </c>
      <c r="H17" s="147">
        <v>-8.4766188783210739E-3</v>
      </c>
      <c r="I17" s="148">
        <v>0.17900115984504561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146312154.77000001</v>
      </c>
      <c r="E19" s="164">
        <v>115973539.61</v>
      </c>
      <c r="F19" s="164">
        <v>3781400.2599999965</v>
      </c>
      <c r="G19" s="147">
        <v>5.1893533202713282E-2</v>
      </c>
      <c r="H19" s="147">
        <v>1.4088805147652428E-2</v>
      </c>
      <c r="I19" s="148">
        <v>-0.10630189612406926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fevereiro de 2024 (valores acumulados)","Table XIV - Accounts payable of the Regional Gov., february (accumulated)")</f>
        <v>Table XIV - Accounts payable of the Regional Gov., february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40" t="str">
        <f>+IF(Índice!$D$2=1,"Governo Regional","Regional Government")</f>
        <v>Regional Government</v>
      </c>
      <c r="D24" s="337" t="str">
        <f>+IF(Índice!$D$2=1,"fevereiro 2024","february 2024")</f>
        <v>february 2024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44" t="str">
        <f>+IF(Índice!$D$2=1,"Variação face ao stock inicial de janeiro","Change from january initial stock")</f>
        <v>Change from january initial stock</v>
      </c>
      <c r="H24" s="345"/>
      <c r="I24" s="345"/>
    </row>
    <row r="25" spans="2:9" ht="22.5" customHeight="1">
      <c r="B25" s="29"/>
      <c r="C25" s="340"/>
      <c r="D25" s="352" t="str">
        <f>+IF(Índice!$D$2=1,"Stock final do período","Accumulated")</f>
        <v>Accumulated</v>
      </c>
      <c r="E25" s="352"/>
      <c r="F25" s="352"/>
      <c r="G25" s="349" t="str">
        <f>+IF(Índice!$D$2=1,"Passivo","Liabilities")</f>
        <v>Liabilities</v>
      </c>
      <c r="H25" s="349" t="str">
        <f>+IF(Índice!$D$2=1,"Contas a pagar","Accounts payable")</f>
        <v>Accounts payable</v>
      </c>
      <c r="I25" s="338" t="str">
        <f>+IF(Índice!$D$2=1,"Pagamentos em atraso","Late payments")</f>
        <v>Late payments</v>
      </c>
    </row>
    <row r="26" spans="2:9" ht="22.5">
      <c r="B26" s="29"/>
      <c r="C26" s="340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50"/>
      <c r="H26" s="350"/>
      <c r="I26" s="339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28424284.359999999</v>
      </c>
      <c r="E27" s="162">
        <v>22122084.059999995</v>
      </c>
      <c r="F27" s="162">
        <v>1272837.7</v>
      </c>
      <c r="G27" s="91">
        <v>1.3676416815606318</v>
      </c>
      <c r="H27" s="91">
        <v>1.3866701335142881</v>
      </c>
      <c r="I27" s="116">
        <v>0.20680057110467809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31895724.16</v>
      </c>
      <c r="E28" s="163">
        <v>25368061.900000002</v>
      </c>
      <c r="F28" s="163">
        <v>6078.19</v>
      </c>
      <c r="G28" s="92">
        <v>-4.0191379934850335E-2</v>
      </c>
      <c r="H28" s="172">
        <v>-5.2913687689939537E-2</v>
      </c>
      <c r="I28" s="117">
        <v>8.6479206349206343</v>
      </c>
    </row>
    <row r="29" spans="2:9" ht="20.100000000000001" customHeight="1">
      <c r="B29" s="29"/>
      <c r="C29" s="146" t="s">
        <v>7</v>
      </c>
      <c r="D29" s="164">
        <v>60320008.519999996</v>
      </c>
      <c r="E29" s="164">
        <v>47490145.959999993</v>
      </c>
      <c r="F29" s="164">
        <v>1278915.8899999999</v>
      </c>
      <c r="G29" s="147">
        <v>0.33343218680168052</v>
      </c>
      <c r="H29" s="147">
        <v>0.31718064300363791</v>
      </c>
      <c r="I29" s="148">
        <v>0.2118395642897255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fevereiro de 2024 (valores acumulados)","Table XV - Accounts payable of the ASFs, february (accumulated)")</f>
        <v>Table XV - Accounts payable of the ASFs, february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1" t="str">
        <f>+IF(Índice!$D$2=1,"Serviços e Fundos Autónomos","Autonomous Services and Funds")</f>
        <v>Autonomous Services and Funds</v>
      </c>
      <c r="D33" s="337" t="str">
        <f>+IF(Índice!$D$2=1,"fevereiro 2024","february 2024")</f>
        <v>february 2024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44" t="str">
        <f>+IF(Índice!$D$2=1,"Variação face ao stock inicial de janeiro","Change from january initial stock")</f>
        <v>Change from january initial stock</v>
      </c>
      <c r="H33" s="345"/>
      <c r="I33" s="345"/>
    </row>
    <row r="34" spans="2:9" ht="12.75" customHeight="1">
      <c r="C34" s="342"/>
      <c r="D34" s="346" t="str">
        <f>+IF(Índice!$D$2=1,"Stock final do período","Accumulated")</f>
        <v>Accumulated</v>
      </c>
      <c r="E34" s="347"/>
      <c r="F34" s="348"/>
      <c r="G34" s="351" t="str">
        <f>+IF(Índice!$D$2=1,"Passivo","Liabilities")</f>
        <v>Liabilities</v>
      </c>
      <c r="H34" s="351" t="str">
        <f>+IF(Índice!$D$2=1,"Contas a pagar","Accounts payable")</f>
        <v>Accounts payable</v>
      </c>
      <c r="I34" s="338" t="str">
        <f>+IF(Índice!$D$2=1,"Pagamentos em atraso","Late payments")</f>
        <v>Late payments</v>
      </c>
    </row>
    <row r="35" spans="2:9" ht="22.5">
      <c r="C35" s="343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50"/>
      <c r="H35" s="350"/>
      <c r="I35" s="339"/>
    </row>
    <row r="36" spans="2:9" ht="20.100000000000001" customHeight="1">
      <c r="C36" s="115" t="str">
        <f>+IF(Índice!$D$2=1,"Despesa corrente","Current expenditure")</f>
        <v>Current expenditure</v>
      </c>
      <c r="D36" s="162">
        <v>67103705.969999999</v>
      </c>
      <c r="E36" s="162">
        <v>63038307.530000001</v>
      </c>
      <c r="F36" s="162">
        <v>2419854.38</v>
      </c>
      <c r="G36" s="91">
        <v>-0.11216262090310869</v>
      </c>
      <c r="H36" s="91">
        <v>-0.1366682067053151</v>
      </c>
      <c r="I36" s="116">
        <v>-0.21768633025227813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817551.98</v>
      </c>
      <c r="E37" s="163">
        <v>348837.05</v>
      </c>
      <c r="F37" s="163">
        <v>82629.990000000005</v>
      </c>
      <c r="G37" s="92">
        <v>1.181635739042894</v>
      </c>
      <c r="H37" s="92">
        <v>-6.9129065796779132E-2</v>
      </c>
      <c r="I37" s="117">
        <v>0</v>
      </c>
    </row>
    <row r="38" spans="2:9" ht="20.100000000000001" customHeight="1">
      <c r="C38" s="146" t="s">
        <v>7</v>
      </c>
      <c r="D38" s="164">
        <v>67921257.950000003</v>
      </c>
      <c r="E38" s="164">
        <v>63387144.579999998</v>
      </c>
      <c r="F38" s="164">
        <v>2502484.37</v>
      </c>
      <c r="G38" s="147">
        <v>-0.1057794176626391</v>
      </c>
      <c r="H38" s="147">
        <v>-0.13632335001387663</v>
      </c>
      <c r="I38" s="148">
        <v>-0.21202248591086614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fevereiro de 2024 (valores acumulados)","Table XVI - Accounts payable of the RPEs, february (accumulated)")</f>
        <v>Table XVI - Accounts payable of the RPEs, february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1" t="str">
        <f>+IF(Índice!$D$2=1,"Entidades Públicas Reclassseicadas","Reclassseied Public Entities")</f>
        <v>Reclassseied Public Entities</v>
      </c>
      <c r="D42" s="337" t="str">
        <f>+IF(Índice!$D$2=1,"fevereiro 2024","february 2024")</f>
        <v>february 2024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44" t="str">
        <f>+IF(Índice!$D$2=1,"Variação face ao stock inicial de janeiro","Change from january initial stock")</f>
        <v>Change from january initial stock</v>
      </c>
      <c r="H42" s="345"/>
      <c r="I42" s="345"/>
    </row>
    <row r="43" spans="2:9" ht="12.75" customHeight="1">
      <c r="C43" s="342"/>
      <c r="D43" s="346" t="str">
        <f>+IF(Índice!$D$2=1,"Stock final do período","Accumulated")</f>
        <v>Accumulated</v>
      </c>
      <c r="E43" s="347"/>
      <c r="F43" s="348"/>
      <c r="G43" s="349" t="str">
        <f>+IF(Índice!$D$2=1,"Passivo","Liabilities")</f>
        <v>Liabilities</v>
      </c>
      <c r="H43" s="349" t="str">
        <f>+IF(Índice!$D$2=1,"Contas a pagar","Accounts payable")</f>
        <v>Accounts payable</v>
      </c>
      <c r="I43" s="338" t="str">
        <f>+IF(Índice!$D$2=1,"Pagamentos em atraso","Late payments")</f>
        <v>Late payments</v>
      </c>
    </row>
    <row r="44" spans="2:9" ht="22.5">
      <c r="C44" s="343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50"/>
      <c r="H44" s="350"/>
      <c r="I44" s="339"/>
    </row>
    <row r="45" spans="2:9" ht="20.100000000000001" customHeight="1">
      <c r="C45" s="115" t="str">
        <f>+IF(Índice!$D$2=1,"Despesa corrente","Current expenditure")</f>
        <v>Current expenditure</v>
      </c>
      <c r="D45" s="162">
        <v>79244959.789998874</v>
      </c>
      <c r="E45" s="162">
        <v>74974971.619998887</v>
      </c>
      <c r="F45" s="162">
        <v>40375044.859999999</v>
      </c>
      <c r="G45" s="91">
        <v>-1.6517134053640747E-2</v>
      </c>
      <c r="H45" s="91">
        <v>-1.7296440370613064E-2</v>
      </c>
      <c r="I45" s="116">
        <v>0.21644408295987816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11309966.01</v>
      </c>
      <c r="E46" s="163">
        <v>2592831.0099999998</v>
      </c>
      <c r="F46" s="163">
        <v>206248.77</v>
      </c>
      <c r="G46" s="92">
        <v>-0.13214264337602366</v>
      </c>
      <c r="H46" s="92">
        <v>-0.39910121746157701</v>
      </c>
      <c r="I46" s="117">
        <v>5.4523385205884622E-3</v>
      </c>
    </row>
    <row r="47" spans="2:9" ht="20.100000000000001" customHeight="1">
      <c r="C47" s="146" t="s">
        <v>7</v>
      </c>
      <c r="D47" s="164">
        <v>90554925.799998879</v>
      </c>
      <c r="E47" s="164">
        <v>77567802.629998893</v>
      </c>
      <c r="F47" s="164">
        <v>40581293.630000003</v>
      </c>
      <c r="G47" s="147">
        <v>-3.2614473992159665E-2</v>
      </c>
      <c r="H47" s="147">
        <v>-3.7733947520772082E-2</v>
      </c>
      <c r="I47" s="148">
        <v>0.21514810186235844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09"/>
  <sheetViews>
    <sheetView showGridLines="0" topLeftCell="A76" zoomScale="85" zoomScaleNormal="85" workbookViewId="0">
      <selection activeCell="B80" sqref="B80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19</v>
      </c>
      <c r="D10" s="170"/>
      <c r="E10" s="169"/>
    </row>
    <row r="11" spans="2:5">
      <c r="B11" s="195"/>
      <c r="C11" s="170" t="s">
        <v>64</v>
      </c>
      <c r="D11" s="170"/>
      <c r="E11" s="169"/>
    </row>
    <row r="12" spans="2:5">
      <c r="B12" s="195"/>
      <c r="C12" s="170" t="s">
        <v>20</v>
      </c>
      <c r="D12" s="170"/>
      <c r="E12" s="169"/>
    </row>
    <row r="13" spans="2:5">
      <c r="B13" s="195"/>
      <c r="C13" s="170" t="s">
        <v>65</v>
      </c>
      <c r="D13" s="170"/>
      <c r="E13" s="169"/>
    </row>
    <row r="14" spans="2:5">
      <c r="B14" s="195"/>
      <c r="C14" s="170" t="s">
        <v>66</v>
      </c>
      <c r="D14" s="170"/>
      <c r="E14" s="169"/>
    </row>
    <row r="15" spans="2:5">
      <c r="B15" s="195"/>
      <c r="C15" s="170" t="s">
        <v>67</v>
      </c>
      <c r="D15" s="170"/>
      <c r="E15" s="169"/>
    </row>
    <row r="16" spans="2:5">
      <c r="B16" s="195"/>
      <c r="C16" s="170" t="s">
        <v>68</v>
      </c>
      <c r="D16" s="170"/>
      <c r="E16" s="169"/>
    </row>
    <row r="17" spans="2:5">
      <c r="B17" s="195"/>
      <c r="C17" s="170" t="s">
        <v>69</v>
      </c>
      <c r="D17" s="171"/>
      <c r="E17" s="169"/>
    </row>
    <row r="18" spans="2:5">
      <c r="B18" s="195"/>
      <c r="C18" s="170" t="s">
        <v>70</v>
      </c>
      <c r="D18" s="170"/>
      <c r="E18" s="169"/>
    </row>
    <row r="19" spans="2:5">
      <c r="B19" s="195"/>
      <c r="C19" s="170" t="s">
        <v>71</v>
      </c>
      <c r="D19" s="170"/>
      <c r="E19" s="169"/>
    </row>
    <row r="20" spans="2:5">
      <c r="B20" s="195"/>
      <c r="C20" s="170" t="s">
        <v>72</v>
      </c>
      <c r="D20" s="170"/>
      <c r="E20" s="169"/>
    </row>
    <row r="21" spans="2:5">
      <c r="B21" s="195"/>
      <c r="C21" s="170" t="s">
        <v>21</v>
      </c>
      <c r="D21" s="170"/>
      <c r="E21" s="169"/>
    </row>
    <row r="22" spans="2:5">
      <c r="B22" s="195"/>
      <c r="C22" s="171" t="s">
        <v>22</v>
      </c>
      <c r="D22" s="170"/>
      <c r="E22" s="169"/>
    </row>
    <row r="23" spans="2:5">
      <c r="B23" s="195"/>
      <c r="C23" s="170" t="s">
        <v>23</v>
      </c>
      <c r="D23" s="170"/>
      <c r="E23" s="169"/>
    </row>
    <row r="24" spans="2:5">
      <c r="B24" s="195"/>
      <c r="C24" s="171" t="s">
        <v>24</v>
      </c>
      <c r="D24" s="170"/>
      <c r="E24" s="169"/>
    </row>
    <row r="25" spans="2:5">
      <c r="B25" s="195"/>
      <c r="C25" s="170" t="s">
        <v>73</v>
      </c>
      <c r="D25" s="170"/>
      <c r="E25" s="169"/>
    </row>
    <row r="26" spans="2:5">
      <c r="B26" s="195"/>
      <c r="C26" s="170" t="s">
        <v>74</v>
      </c>
      <c r="D26" s="170"/>
      <c r="E26" s="169"/>
    </row>
    <row r="27" spans="2:5">
      <c r="B27" s="195"/>
      <c r="C27" s="170" t="s">
        <v>59</v>
      </c>
      <c r="D27" s="170"/>
      <c r="E27" s="169"/>
    </row>
    <row r="28" spans="2:5">
      <c r="B28" s="195"/>
      <c r="C28" s="170" t="s">
        <v>25</v>
      </c>
      <c r="D28" s="170"/>
      <c r="E28" s="169"/>
    </row>
    <row r="29" spans="2:5">
      <c r="B29" s="55"/>
      <c r="C29" s="170" t="s">
        <v>75</v>
      </c>
      <c r="D29" s="170"/>
      <c r="E29" s="169"/>
    </row>
    <row r="30" spans="2:5">
      <c r="B30" s="55"/>
      <c r="C30" s="170" t="s">
        <v>26</v>
      </c>
      <c r="D30" s="170"/>
      <c r="E30" s="169"/>
    </row>
    <row r="31" spans="2:5">
      <c r="B31" s="55"/>
      <c r="C31" s="170" t="s">
        <v>27</v>
      </c>
      <c r="D31" s="170"/>
      <c r="E31" s="169"/>
    </row>
    <row r="32" spans="2:5">
      <c r="B32" s="55"/>
      <c r="C32" s="170" t="s">
        <v>60</v>
      </c>
      <c r="D32" s="170"/>
      <c r="E32" s="169"/>
    </row>
    <row r="33" spans="2:5">
      <c r="B33" s="55"/>
      <c r="C33" s="171" t="s">
        <v>28</v>
      </c>
      <c r="D33" s="170"/>
      <c r="E33" s="169"/>
    </row>
    <row r="34" spans="2:5">
      <c r="B34" s="55"/>
      <c r="C34" s="170" t="s">
        <v>76</v>
      </c>
      <c r="D34" s="170"/>
      <c r="E34" s="169"/>
    </row>
    <row r="35" spans="2:5">
      <c r="B35" s="55"/>
      <c r="C35" s="170" t="s">
        <v>62</v>
      </c>
      <c r="D35" s="170"/>
      <c r="E35" s="169"/>
    </row>
    <row r="36" spans="2:5">
      <c r="B36" s="55"/>
      <c r="C36" s="170" t="s">
        <v>29</v>
      </c>
      <c r="D36" s="170"/>
      <c r="E36" s="169"/>
    </row>
    <row r="37" spans="2:5">
      <c r="B37" s="55"/>
      <c r="C37" s="171" t="s">
        <v>30</v>
      </c>
      <c r="D37" s="170"/>
      <c r="E37" s="169"/>
    </row>
    <row r="38" spans="2:5">
      <c r="B38" s="55"/>
      <c r="C38" s="170" t="s">
        <v>31</v>
      </c>
      <c r="D38" s="170"/>
      <c r="E38" s="169"/>
    </row>
    <row r="39" spans="2:5">
      <c r="B39" s="55"/>
      <c r="C39" s="170" t="s">
        <v>32</v>
      </c>
      <c r="D39" s="170"/>
      <c r="E39" s="169"/>
    </row>
    <row r="40" spans="2:5">
      <c r="B40" s="55"/>
      <c r="C40" s="170" t="s">
        <v>33</v>
      </c>
      <c r="D40" s="170"/>
      <c r="E40" s="169"/>
    </row>
    <row r="41" spans="2:5">
      <c r="B41" s="55"/>
      <c r="C41" s="171" t="s">
        <v>34</v>
      </c>
      <c r="D41" s="170"/>
      <c r="E41" s="169"/>
    </row>
    <row r="42" spans="2:5">
      <c r="B42" s="55"/>
      <c r="C42" s="170" t="s">
        <v>36</v>
      </c>
      <c r="D42" s="170"/>
      <c r="E42" s="169"/>
    </row>
    <row r="43" spans="2:5">
      <c r="B43" s="55"/>
      <c r="C43" s="171" t="s">
        <v>52</v>
      </c>
      <c r="D43" s="171"/>
      <c r="E43" s="169"/>
    </row>
    <row r="44" spans="2:5">
      <c r="B44" s="55"/>
      <c r="C44" s="170" t="s">
        <v>35</v>
      </c>
      <c r="D44" s="170"/>
      <c r="E44" s="169"/>
    </row>
    <row r="45" spans="2:5">
      <c r="B45" s="55"/>
      <c r="C45" s="170" t="s">
        <v>63</v>
      </c>
      <c r="D45" s="171"/>
      <c r="E45" s="169"/>
    </row>
    <row r="46" spans="2:5">
      <c r="B46" s="55"/>
      <c r="C46" s="170" t="s">
        <v>61</v>
      </c>
      <c r="D46" s="170"/>
      <c r="E46" s="169"/>
    </row>
    <row r="47" spans="2:5">
      <c r="B47" s="55"/>
      <c r="C47" s="171" t="s">
        <v>37</v>
      </c>
      <c r="D47" s="170"/>
      <c r="E47" s="169"/>
    </row>
    <row r="48" spans="2:5">
      <c r="B48" s="55"/>
      <c r="C48" s="170" t="s">
        <v>77</v>
      </c>
      <c r="D48" s="170"/>
      <c r="E48" s="169"/>
    </row>
    <row r="49" spans="2:5">
      <c r="B49" s="55"/>
      <c r="C49" s="171" t="s">
        <v>38</v>
      </c>
      <c r="D49" s="170"/>
      <c r="E49" s="169"/>
    </row>
    <row r="50" spans="2:5">
      <c r="B50" s="55"/>
      <c r="C50" s="170" t="s">
        <v>39</v>
      </c>
      <c r="D50" s="171"/>
      <c r="E50" s="169"/>
    </row>
    <row r="51" spans="2:5">
      <c r="B51" s="55"/>
      <c r="C51" s="170" t="s">
        <v>40</v>
      </c>
      <c r="D51" s="170"/>
      <c r="E51" s="169"/>
    </row>
    <row r="52" spans="2:5">
      <c r="B52" s="55"/>
      <c r="C52" s="170" t="s">
        <v>41</v>
      </c>
      <c r="D52" s="170"/>
      <c r="E52" s="169"/>
    </row>
    <row r="53" spans="2:5">
      <c r="B53" s="55"/>
      <c r="C53" s="170" t="s">
        <v>42</v>
      </c>
      <c r="D53" s="170"/>
      <c r="E53" s="169"/>
    </row>
    <row r="54" spans="2:5">
      <c r="B54" s="55"/>
      <c r="C54" s="275"/>
      <c r="D54" s="171"/>
      <c r="E54" s="169"/>
    </row>
    <row r="55" spans="2:5">
      <c r="B55" s="55"/>
      <c r="C55" s="170"/>
    </row>
    <row r="56" spans="2:5">
      <c r="B56" s="55"/>
      <c r="C56" s="170"/>
    </row>
    <row r="57" spans="2:5">
      <c r="B57" s="55"/>
      <c r="C57" s="171"/>
    </row>
    <row r="58" spans="2:5">
      <c r="B58" s="55"/>
      <c r="C58" s="170"/>
    </row>
    <row r="59" spans="2:5">
      <c r="B59" s="55"/>
      <c r="C59" s="170"/>
    </row>
    <row r="60" spans="2:5">
      <c r="B60" s="55"/>
      <c r="C60" s="171"/>
    </row>
    <row r="61" spans="2:5">
      <c r="B61" s="55"/>
      <c r="C61" s="170"/>
    </row>
    <row r="62" spans="2:5">
      <c r="B62" s="55"/>
      <c r="C62" s="170"/>
    </row>
    <row r="63" spans="2:5">
      <c r="B63" s="55"/>
      <c r="C63" s="170"/>
    </row>
    <row r="64" spans="2:5">
      <c r="B64" s="55"/>
      <c r="C64" s="171"/>
    </row>
    <row r="65" spans="2:3">
      <c r="B65" s="55"/>
      <c r="C65" s="170"/>
    </row>
    <row r="66" spans="2:3">
      <c r="B66" s="55"/>
      <c r="C66" s="170"/>
    </row>
    <row r="67" spans="2:3">
      <c r="B67" s="55"/>
      <c r="C67" s="170"/>
    </row>
    <row r="68" spans="2:3">
      <c r="B68" s="55"/>
      <c r="C68" s="171"/>
    </row>
    <row r="69" spans="2:3">
      <c r="B69" s="55"/>
      <c r="C69" s="170"/>
    </row>
    <row r="70" spans="2:3">
      <c r="B70" s="55"/>
      <c r="C70" s="171"/>
    </row>
    <row r="71" spans="2:3">
      <c r="B71" s="55"/>
      <c r="C71" s="170"/>
    </row>
    <row r="72" spans="2:3">
      <c r="B72" s="55"/>
      <c r="C72" s="170"/>
    </row>
    <row r="73" spans="2:3">
      <c r="B73" s="55"/>
      <c r="C73" s="170"/>
    </row>
    <row r="74" spans="2:3" ht="13.5" customHeight="1">
      <c r="B74" s="55"/>
      <c r="C74" s="170"/>
    </row>
    <row r="75" spans="2:3" ht="13.5" customHeight="1">
      <c r="B75" s="55"/>
      <c r="C75" s="170"/>
    </row>
    <row r="76" spans="2:3" ht="13.5" customHeight="1">
      <c r="B76" s="55"/>
      <c r="C76" s="322"/>
    </row>
    <row r="77" spans="2:3" ht="13.5" customHeight="1">
      <c r="B77" s="55"/>
      <c r="C77" s="322"/>
    </row>
    <row r="78" spans="2:3" ht="13.5" customHeight="1">
      <c r="B78" s="55"/>
      <c r="C78" s="322"/>
    </row>
    <row r="79" spans="2:3">
      <c r="B79" s="55"/>
      <c r="C79" s="275"/>
    </row>
    <row r="80" spans="2:3" ht="30.75" customHeight="1">
      <c r="B80" s="16"/>
      <c r="C80" s="321" t="s">
        <v>11</v>
      </c>
    </row>
    <row r="81" spans="2:3">
      <c r="B81" s="55"/>
      <c r="C81" s="171" t="s">
        <v>13</v>
      </c>
    </row>
    <row r="82" spans="2:3">
      <c r="B82" s="55"/>
      <c r="C82" s="170" t="s">
        <v>13</v>
      </c>
    </row>
    <row r="83" spans="2:3">
      <c r="B83" s="55"/>
      <c r="C83" s="171" t="s">
        <v>17</v>
      </c>
    </row>
    <row r="84" spans="2:3">
      <c r="B84" s="55"/>
      <c r="C84" s="170" t="s">
        <v>43</v>
      </c>
    </row>
    <row r="85" spans="2:3">
      <c r="B85" s="55"/>
      <c r="C85" s="170" t="s">
        <v>44</v>
      </c>
    </row>
    <row r="86" spans="2:3">
      <c r="B86" s="55"/>
      <c r="C86" s="170" t="s">
        <v>45</v>
      </c>
    </row>
    <row r="87" spans="2:3">
      <c r="B87" s="55"/>
      <c r="C87" s="170" t="s">
        <v>78</v>
      </c>
    </row>
    <row r="88" spans="2:3">
      <c r="B88" s="55"/>
      <c r="C88" s="171" t="s">
        <v>22</v>
      </c>
    </row>
    <row r="89" spans="2:3">
      <c r="B89" s="55"/>
      <c r="C89" s="170" t="s">
        <v>46</v>
      </c>
    </row>
    <row r="90" spans="2:3">
      <c r="B90" s="55"/>
      <c r="C90" s="170" t="s">
        <v>47</v>
      </c>
    </row>
    <row r="91" spans="2:3">
      <c r="B91" s="55"/>
      <c r="C91" s="171" t="s">
        <v>24</v>
      </c>
    </row>
    <row r="92" spans="2:3">
      <c r="B92" s="55"/>
      <c r="C92" s="170" t="s">
        <v>48</v>
      </c>
    </row>
    <row r="93" spans="2:3">
      <c r="B93" s="55"/>
      <c r="C93" s="170" t="s">
        <v>49</v>
      </c>
    </row>
    <row r="94" spans="2:3">
      <c r="B94" s="55"/>
      <c r="C94" s="170" t="s">
        <v>79</v>
      </c>
    </row>
    <row r="95" spans="2:3">
      <c r="B95" s="55"/>
      <c r="C95" s="171" t="s">
        <v>28</v>
      </c>
    </row>
    <row r="96" spans="2:3">
      <c r="B96" s="55"/>
      <c r="C96" s="170" t="s">
        <v>50</v>
      </c>
    </row>
    <row r="97" spans="2:3">
      <c r="B97" s="55"/>
      <c r="C97" s="171" t="s">
        <v>34</v>
      </c>
    </row>
    <row r="98" spans="2:3">
      <c r="B98" s="55"/>
      <c r="C98" s="170" t="s">
        <v>51</v>
      </c>
    </row>
    <row r="99" spans="2:3">
      <c r="B99" s="55"/>
      <c r="C99" s="171" t="s">
        <v>52</v>
      </c>
    </row>
    <row r="100" spans="2:3">
      <c r="B100" s="55"/>
      <c r="C100" s="170" t="s">
        <v>53</v>
      </c>
    </row>
    <row r="101" spans="2:3">
      <c r="B101" s="55"/>
      <c r="C101" s="171" t="s">
        <v>37</v>
      </c>
    </row>
    <row r="102" spans="2:3">
      <c r="B102" s="55"/>
      <c r="C102" s="171" t="s">
        <v>38</v>
      </c>
    </row>
    <row r="103" spans="2:3">
      <c r="B103" s="55"/>
      <c r="C103" s="170" t="s">
        <v>54</v>
      </c>
    </row>
    <row r="104" spans="2:3">
      <c r="B104" s="55"/>
      <c r="C104" s="170" t="s">
        <v>55</v>
      </c>
    </row>
    <row r="105" spans="2:3">
      <c r="B105" s="55"/>
      <c r="C105" s="170" t="s">
        <v>56</v>
      </c>
    </row>
    <row r="106" spans="2:3">
      <c r="B106" s="55"/>
      <c r="C106" s="170" t="s">
        <v>57</v>
      </c>
    </row>
    <row r="107" spans="2:3">
      <c r="B107" s="55"/>
      <c r="C107" s="170" t="s">
        <v>58</v>
      </c>
    </row>
    <row r="108" spans="2:3">
      <c r="B108" s="55"/>
      <c r="C108" s="290"/>
    </row>
    <row r="109" spans="2:3">
      <c r="B109" s="55"/>
      <c r="C109" s="17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A24" sqref="A24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(january-february)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(january-february)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(february)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(january-february)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(january-february)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(january-february)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(january-february)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(january-february)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(january-february)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(january-february)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(january-february)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(february)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february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february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february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february (accumulated)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'!C80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3"/>
      <c r="B22" s="323"/>
      <c r="C22" s="323"/>
      <c r="D22" s="323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0" display="'Pagamentos_Atraso '!B80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I15" sqref="I15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(janeiro-fevereiro)","TABLE I - Consolidated budget execution (january-february)")</f>
        <v>TABLE I - Consolidated budget execution (january-february)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2024","Consolidated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206404.28929999997</v>
      </c>
      <c r="E5" s="57">
        <v>87049.767290000003</v>
      </c>
      <c r="F5" s="57">
        <v>73242.988400000002</v>
      </c>
      <c r="G5" s="57">
        <v>249239.78808000003</v>
      </c>
      <c r="H5" s="57">
        <v>23.173927218567147</v>
      </c>
    </row>
    <row r="6" spans="1:10" ht="11.25" customHeight="1">
      <c r="C6" s="68" t="str">
        <f>+IF(Índice!$D$2=1,"Impostos diretos","Direct taxes")</f>
        <v>Direct taxes</v>
      </c>
      <c r="D6" s="56">
        <v>38971.061909999997</v>
      </c>
      <c r="E6" s="56">
        <v>0</v>
      </c>
      <c r="F6" s="56">
        <v>0</v>
      </c>
      <c r="G6" s="56">
        <v>38971.061909999997</v>
      </c>
      <c r="H6" s="56">
        <v>44.308020976697016</v>
      </c>
    </row>
    <row r="7" spans="1:10">
      <c r="C7" s="68" t="str">
        <f>+IF(Índice!$D$2=1,"Impostos indiretos","Indirect taxes")</f>
        <v>Indirect taxes</v>
      </c>
      <c r="D7" s="56">
        <v>109887.87445999999</v>
      </c>
      <c r="E7" s="56">
        <v>0</v>
      </c>
      <c r="F7" s="56">
        <v>0</v>
      </c>
      <c r="G7" s="56">
        <v>109887.87445999999</v>
      </c>
      <c r="H7" s="56">
        <v>9.9335389612276614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57545.352930000001</v>
      </c>
      <c r="E9" s="56">
        <v>87049.767290000003</v>
      </c>
      <c r="F9" s="56">
        <v>73242.988400000002</v>
      </c>
      <c r="G9" s="56">
        <v>73525.370640000008</v>
      </c>
      <c r="H9" s="56">
        <v>16.981240707555912</v>
      </c>
    </row>
    <row r="10" spans="1:10">
      <c r="C10" s="69" t="str">
        <f>+IF(Índice!$D$2=1,"Transferências correntes","Current transfers")</f>
        <v>Current transfers</v>
      </c>
      <c r="D10" s="56">
        <v>49364.531660000001</v>
      </c>
      <c r="E10" s="56">
        <v>85135.661970000001</v>
      </c>
      <c r="F10" s="56">
        <v>63479.296289999998</v>
      </c>
      <c r="G10" s="56">
        <v>53666.751939999987</v>
      </c>
      <c r="H10" s="56">
        <v>4.7200046709158894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49178.053</v>
      </c>
      <c r="E11" s="56">
        <v>25.126580000000004</v>
      </c>
      <c r="F11" s="56">
        <v>0</v>
      </c>
      <c r="G11" s="56">
        <v>49203.179579999996</v>
      </c>
      <c r="H11" s="56">
        <v>7.5996099907025494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81256.032290000003</v>
      </c>
      <c r="F12" s="56">
        <v>63056.705689999995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26855.481070000038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30657.728889999999</v>
      </c>
      <c r="E14" s="57">
        <v>1616.1599900000003</v>
      </c>
      <c r="F14" s="57">
        <v>5081.6949399999994</v>
      </c>
      <c r="G14" s="57">
        <v>35191.049760000002</v>
      </c>
      <c r="H14" s="57">
        <v>114.01047231894852</v>
      </c>
    </row>
    <row r="15" spans="1:10">
      <c r="C15" s="68" t="str">
        <f>+IF(Índice!$D$2=1,"Venda de bens de investimento","Sale of investment goods")</f>
        <v>Sale of investment goods</v>
      </c>
      <c r="D15" s="56">
        <v>306.94</v>
      </c>
      <c r="E15" s="56">
        <v>0</v>
      </c>
      <c r="F15" s="56">
        <v>181.6</v>
      </c>
      <c r="G15" s="56">
        <v>488.53999999999996</v>
      </c>
      <c r="H15" s="56">
        <v>267.32046360843975</v>
      </c>
    </row>
    <row r="16" spans="1:10" ht="11.25" customHeight="1">
      <c r="C16" s="68" t="str">
        <f>+IF(Índice!$D$2=1,"Transferências capital","Capital transfers")</f>
        <v>Capital transfers</v>
      </c>
      <c r="D16" s="56">
        <v>29390.866309999998</v>
      </c>
      <c r="E16" s="56">
        <v>1602.9724300000003</v>
      </c>
      <c r="F16" s="56">
        <v>4893.0887699999994</v>
      </c>
      <c r="G16" s="56">
        <v>32491.787639999995</v>
      </c>
      <c r="H16" s="56">
        <v>120.70826341031182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27047.929</v>
      </c>
      <c r="E17" s="56">
        <v>0</v>
      </c>
      <c r="F17" s="56">
        <v>0</v>
      </c>
      <c r="G17" s="56">
        <v>27047.929</v>
      </c>
      <c r="H17" s="56">
        <v>138.78646928740244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295.84168</v>
      </c>
      <c r="F18" s="56">
        <v>3099.2981899999995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1230.6058099999996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237062.01818999997</v>
      </c>
      <c r="E20" s="57">
        <v>88665.927280000004</v>
      </c>
      <c r="F20" s="57">
        <v>78324.683340000003</v>
      </c>
      <c r="G20" s="57">
        <v>284430.83784000005</v>
      </c>
      <c r="H20" s="57">
        <v>30.00088857674308</v>
      </c>
    </row>
    <row r="21" spans="3:8" ht="20.25" customHeight="1">
      <c r="C21" s="220" t="str">
        <f>+IF(Índice!$D$2=1,"Despesa corrente","Current expenditure")</f>
        <v>Current expenditure</v>
      </c>
      <c r="D21" s="220">
        <v>180897.11753999977</v>
      </c>
      <c r="E21" s="220">
        <v>85425.087449999992</v>
      </c>
      <c r="F21" s="220">
        <v>48240.864260000009</v>
      </c>
      <c r="G21" s="220">
        <v>197105.8123399998</v>
      </c>
      <c r="H21" s="220">
        <v>7.4541970704982141</v>
      </c>
    </row>
    <row r="22" spans="3:8" ht="10.5" customHeight="1">
      <c r="C22" s="68" t="str">
        <f>+IF(Índice!$D$2=1,"Consumo público","Public consumption")</f>
        <v>Public consumption</v>
      </c>
      <c r="D22" s="56">
        <v>97252.511099999843</v>
      </c>
      <c r="E22" s="56">
        <v>19513.467470000007</v>
      </c>
      <c r="F22" s="56">
        <v>46054.480270000007</v>
      </c>
      <c r="G22" s="56">
        <v>162820.45883999986</v>
      </c>
      <c r="H22" s="56">
        <v>11.673499930032039</v>
      </c>
    </row>
    <row r="23" spans="3:8">
      <c r="C23" s="69" t="str">
        <f>+IF(Índice!$D$2=1,"Despesas com o pessoal","Compensation of employees")</f>
        <v>Compensation of employees</v>
      </c>
      <c r="D23" s="56">
        <v>61445.177139999847</v>
      </c>
      <c r="E23" s="56">
        <v>8038.7428900000014</v>
      </c>
      <c r="F23" s="56">
        <v>39572.704930000007</v>
      </c>
      <c r="G23" s="56">
        <v>109056.62495999986</v>
      </c>
      <c r="H23" s="56">
        <v>10.56613605391612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35807.333959999996</v>
      </c>
      <c r="E24" s="56">
        <v>11474.724580000006</v>
      </c>
      <c r="F24" s="56">
        <v>6481.7753399999974</v>
      </c>
      <c r="G24" s="56">
        <v>53763.833879999998</v>
      </c>
      <c r="H24" s="56">
        <v>13.98926225973247</v>
      </c>
    </row>
    <row r="25" spans="3:8">
      <c r="C25" s="68" t="str">
        <f>+IF(Índice!$D$2=1,"Subsídios","Subsidies")</f>
        <v>Subsidies</v>
      </c>
      <c r="D25" s="56">
        <v>0</v>
      </c>
      <c r="E25" s="56">
        <v>561.72254999999996</v>
      </c>
      <c r="F25" s="56">
        <v>0</v>
      </c>
      <c r="G25" s="56">
        <v>561.72254999999996</v>
      </c>
      <c r="H25" s="56">
        <v>-89.100516102733636</v>
      </c>
    </row>
    <row r="26" spans="3:8">
      <c r="C26" s="68" t="str">
        <f>+IF(Índice!$D$2=1,"Juros e outros encargos","Interests and other charges")</f>
        <v>Interests and other charges</v>
      </c>
      <c r="D26" s="56">
        <v>19688.239740000001</v>
      </c>
      <c r="E26" s="56">
        <v>0.26008000000000003</v>
      </c>
      <c r="F26" s="56">
        <v>74.738380000000006</v>
      </c>
      <c r="G26" s="56">
        <v>19763.2382</v>
      </c>
      <c r="H26" s="56">
        <v>6.0594282844919078</v>
      </c>
    </row>
    <row r="27" spans="3:8">
      <c r="C27" s="68" t="str">
        <f>+IF(Índice!$D$2=1,"Transferências correntes","Current transfers")</f>
        <v>Current transfers</v>
      </c>
      <c r="D27" s="56">
        <v>63956.366699999933</v>
      </c>
      <c r="E27" s="56">
        <v>65349.63734999999</v>
      </c>
      <c r="F27" s="56">
        <v>2111.6456099999996</v>
      </c>
      <c r="G27" s="56">
        <v>13960.392749999941</v>
      </c>
      <c r="H27" s="56">
        <v>0.83945924662376381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0</v>
      </c>
      <c r="E28" s="56">
        <v>406.53602999999998</v>
      </c>
      <c r="F28" s="56">
        <v>0</v>
      </c>
      <c r="G28" s="56">
        <v>406.53602999999998</v>
      </c>
      <c r="H28" s="56">
        <v>37.340167864471965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55626.430539999979</v>
      </c>
      <c r="E29" s="56">
        <v>61830.826369999995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10270.290740000004</v>
      </c>
      <c r="E31" s="57">
        <v>956.56926999999996</v>
      </c>
      <c r="F31" s="57">
        <v>2214.9872999999998</v>
      </c>
      <c r="G31" s="57">
        <v>11277.313250000005</v>
      </c>
      <c r="H31" s="57">
        <v>-26.721145160698146</v>
      </c>
    </row>
    <row r="32" spans="3:8">
      <c r="C32" s="68" t="str">
        <f>+IF(Índice!$D$2=1,"Investimento","Investment")</f>
        <v>Investment</v>
      </c>
      <c r="D32" s="56">
        <v>5921.1363400000046</v>
      </c>
      <c r="E32" s="56">
        <v>240.44653</v>
      </c>
      <c r="F32" s="56">
        <v>2214.9872999999998</v>
      </c>
      <c r="G32" s="56">
        <v>8376.5701700000045</v>
      </c>
      <c r="H32" s="56">
        <v>-8.0551398865800987</v>
      </c>
    </row>
    <row r="33" spans="3:8">
      <c r="C33" s="68" t="str">
        <f>+IF(Índice!$D$2=1,"Transferências capital","Capital transfers")</f>
        <v>Capital transfers</v>
      </c>
      <c r="D33" s="56">
        <v>4349.1544000000004</v>
      </c>
      <c r="E33" s="56">
        <v>716.12274000000002</v>
      </c>
      <c r="F33" s="56">
        <v>0</v>
      </c>
      <c r="G33" s="56">
        <v>2900.7430800000002</v>
      </c>
      <c r="H33" s="56">
        <v>-53.803639286552261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1683.404</v>
      </c>
      <c r="E34" s="56">
        <v>0</v>
      </c>
      <c r="F34" s="56">
        <v>0</v>
      </c>
      <c r="G34" s="56">
        <v>1683.404</v>
      </c>
      <c r="H34" s="56">
        <v>53.127587614942051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2164.53406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191167.40827999977</v>
      </c>
      <c r="E38" s="86">
        <v>86381.656719999999</v>
      </c>
      <c r="F38" s="86">
        <v>50455.851560000003</v>
      </c>
      <c r="G38" s="86">
        <v>208383.12558999981</v>
      </c>
      <c r="H38" s="86">
        <v>4.8088940195554652</v>
      </c>
    </row>
    <row r="39" spans="3:8" ht="17.25" customHeight="1">
      <c r="C39" s="138" t="str">
        <f>+IF(Índice!$D$2=1,"Saldo global","Overall balance")</f>
        <v>Overall balance</v>
      </c>
      <c r="D39" s="139">
        <v>45894.609910000203</v>
      </c>
      <c r="E39" s="139">
        <v>2284.2705600000045</v>
      </c>
      <c r="F39" s="139">
        <v>27868.83178</v>
      </c>
      <c r="G39" s="139">
        <v>76047.712250000244</v>
      </c>
      <c r="H39" s="139">
        <v>280.81988756862188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25507.171760000201</v>
      </c>
      <c r="E41" s="19">
        <v>1624.6798400000116</v>
      </c>
      <c r="F41" s="19">
        <v>25002.124139999993</v>
      </c>
      <c r="G41" s="19">
        <v>52133.975740000227</v>
      </c>
      <c r="H41" s="19">
        <v>175.61589708741428</v>
      </c>
    </row>
    <row r="42" spans="3:8">
      <c r="C42" s="68" t="str">
        <f>+IF(Índice!$D$2=1,"Despesa corrente primária","Primary current expenditure")</f>
        <v>Primary current expenditure</v>
      </c>
      <c r="D42" s="19">
        <v>161208.87779999978</v>
      </c>
      <c r="E42" s="19">
        <v>85424.827369999999</v>
      </c>
      <c r="F42" s="19">
        <v>48166.125880000007</v>
      </c>
      <c r="G42" s="19">
        <v>177342.57413999981</v>
      </c>
      <c r="H42" s="19">
        <v>7.6119067545228569</v>
      </c>
    </row>
    <row r="43" spans="3:8">
      <c r="C43" s="68" t="str">
        <f>+IF(Índice!$D$2=1,"Saldo corrente primário","Primary current balance")</f>
        <v>Primary current balance</v>
      </c>
      <c r="D43" s="19">
        <v>45195.411500000191</v>
      </c>
      <c r="E43" s="19">
        <v>1624.9399200000043</v>
      </c>
      <c r="F43" s="19">
        <v>25076.862519999995</v>
      </c>
      <c r="G43" s="19">
        <v>71897.21394000022</v>
      </c>
      <c r="H43" s="19">
        <v>91.472837662502386</v>
      </c>
    </row>
    <row r="44" spans="3:8">
      <c r="C44" s="68" t="str">
        <f>+IF(Índice!$D$2=1,"Saldo de capital","Capital balance")</f>
        <v>Capital balance</v>
      </c>
      <c r="D44" s="19">
        <v>20387.438149999994</v>
      </c>
      <c r="E44" s="19">
        <v>659.59072000000037</v>
      </c>
      <c r="F44" s="19">
        <v>2866.7076399999996</v>
      </c>
      <c r="G44" s="19">
        <v>23913.736509999995</v>
      </c>
      <c r="H44" s="19">
        <v>2168.8039885167154</v>
      </c>
    </row>
    <row r="45" spans="3:8">
      <c r="C45" s="68" t="str">
        <f t="array" ref="C45">+IF(Índice!$D$2=1,"Despesa primária","Primary expenditure")</f>
        <v>Primary expenditure</v>
      </c>
      <c r="D45" s="19">
        <v>171479.16853999978</v>
      </c>
      <c r="E45" s="19">
        <v>86381.396640000006</v>
      </c>
      <c r="F45" s="19">
        <v>50381.11318</v>
      </c>
      <c r="G45" s="19">
        <v>188619.88738999981</v>
      </c>
      <c r="H45" s="19">
        <v>4.6795700970896137</v>
      </c>
    </row>
    <row r="46" spans="3:8">
      <c r="C46" s="221" t="str">
        <f>+IF(Índice!$D$2=1,"Saldo primário","Primary balance")</f>
        <v>Primary balance</v>
      </c>
      <c r="D46" s="132">
        <v>65582.849650000193</v>
      </c>
      <c r="E46" s="132">
        <v>2284.5306399999972</v>
      </c>
      <c r="F46" s="132">
        <v>27943.570160000003</v>
      </c>
      <c r="G46" s="132">
        <v>95810.950450000237</v>
      </c>
      <c r="H46" s="132">
        <v>148.19183383046348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4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4"/>
      <c r="E48" s="324"/>
      <c r="F48" s="324"/>
      <c r="G48" s="324"/>
    </row>
    <row r="49" spans="3:7" ht="9" customHeight="1">
      <c r="C49" s="324"/>
      <c r="D49" s="324"/>
      <c r="E49" s="324"/>
      <c r="F49" s="324"/>
      <c r="G49" s="324"/>
    </row>
    <row r="50" spans="3:7" ht="9" customHeight="1">
      <c r="C50" s="324"/>
      <c r="D50" s="324"/>
      <c r="E50" s="324"/>
      <c r="F50" s="324"/>
      <c r="G50" s="324"/>
    </row>
    <row r="51" spans="3:7" ht="9" customHeight="1">
      <c r="C51" s="324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4"/>
      <c r="E51" s="324"/>
      <c r="F51" s="324"/>
      <c r="G51" s="324"/>
    </row>
    <row r="52" spans="3:7" ht="9" customHeight="1">
      <c r="C52" s="324"/>
      <c r="D52" s="324"/>
      <c r="E52" s="324"/>
      <c r="F52" s="324"/>
      <c r="G52" s="324"/>
    </row>
    <row r="53" spans="3:7" ht="9" customHeight="1">
      <c r="C53" s="324"/>
      <c r="D53" s="324"/>
      <c r="E53" s="324"/>
      <c r="F53" s="324"/>
      <c r="G53" s="324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I15" sqref="I1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(janeiro-fevereiro)","TABLE II - Regional Gov. budget execution (january-february)")</f>
        <v>TABLE II - Regional Gov. budget execution (january-february)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177195.65312999996</v>
      </c>
      <c r="E5" s="225">
        <v>206404.28929999997</v>
      </c>
      <c r="F5" s="225">
        <v>16.48383335259982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126963.93351999996</v>
      </c>
      <c r="E6" s="231">
        <v>148858.93636999998</v>
      </c>
      <c r="F6" s="231">
        <v>17.245057114232388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27005.471799999999</v>
      </c>
      <c r="E7" s="231">
        <v>38971.061909999997</v>
      </c>
      <c r="F7" s="231">
        <v>44.308020976697016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99958.461719999963</v>
      </c>
      <c r="E8" s="231">
        <v>109887.87445999999</v>
      </c>
      <c r="F8" s="231">
        <v>9.9335389612276614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50231.719610000007</v>
      </c>
      <c r="E9" s="231">
        <v>57545.352930000001</v>
      </c>
      <c r="F9" s="231">
        <v>14.559790858810274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14367.00806</v>
      </c>
      <c r="E10" s="232">
        <v>30657.728890000002</v>
      </c>
      <c r="F10" s="232">
        <v>113.38979390814097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191562.66118999996</v>
      </c>
      <c r="E12" s="232">
        <v>237062.01818999997</v>
      </c>
      <c r="F12" s="232">
        <v>23.7516835052066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165887.04620999994</v>
      </c>
      <c r="E14" s="232">
        <v>180897.11753999992</v>
      </c>
      <c r="F14" s="232">
        <v>9.0483685573606643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57055.606709999942</v>
      </c>
      <c r="E15" s="231">
        <v>61445.177139999963</v>
      </c>
      <c r="F15" s="231">
        <v>7.6934953164395692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33850.430970000009</v>
      </c>
      <c r="E16" s="231">
        <v>35734.939509999997</v>
      </c>
      <c r="F16" s="231">
        <v>5.5671626209726544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18561.6603</v>
      </c>
      <c r="E17" s="231">
        <v>19688.239740000001</v>
      </c>
      <c r="F17" s="231">
        <v>6.0693893853881242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51875.782300000006</v>
      </c>
      <c r="E18" s="231">
        <v>63956.366699999984</v>
      </c>
      <c r="F18" s="231">
        <v>23.287522355108603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44489.738900000004</v>
      </c>
      <c r="E19" s="231">
        <v>55626.430539999979</v>
      </c>
      <c r="F19" s="231">
        <v>25.032045400473169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7386.0433999999987</v>
      </c>
      <c r="E20" s="231">
        <v>8329.9361600000011</v>
      </c>
      <c r="F20" s="231">
        <v>12.779409879990711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4447.4019800000005</v>
      </c>
      <c r="E21" s="231">
        <v>0</v>
      </c>
      <c r="F21" s="231">
        <v>-100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96.16395</v>
      </c>
      <c r="E22" s="231">
        <v>72.394449999999949</v>
      </c>
      <c r="F22" s="231">
        <v>-24.717682665905517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14978.655149999995</v>
      </c>
      <c r="E23" s="232">
        <v>10270.290740000004</v>
      </c>
      <c r="F23" s="232">
        <v>-31.433826086849948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8123.1492299999973</v>
      </c>
      <c r="E24" s="231">
        <v>5921.1363400000046</v>
      </c>
      <c r="F24" s="231">
        <v>-27.107871930600901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6855.5059199999987</v>
      </c>
      <c r="E25" s="231">
        <v>4349.1543999999994</v>
      </c>
      <c r="F25" s="231">
        <v>-36.559687195193902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6815.7486299999991</v>
      </c>
      <c r="E26" s="231">
        <v>3847.93806</v>
      </c>
      <c r="F26" s="231">
        <v>-43.543427598502845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39.757289999999998</v>
      </c>
      <c r="E27" s="231">
        <v>501.21633999999995</v>
      </c>
      <c r="F27" s="231">
        <v>1160.6904042000851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180865.70135999995</v>
      </c>
      <c r="E29" s="235">
        <v>191167.40827999992</v>
      </c>
      <c r="F29" s="235">
        <v>5.6957769452900209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10696.959830000025</v>
      </c>
      <c r="E31" s="139">
        <v>45894.609910000057</v>
      </c>
      <c r="F31" s="139">
        <v>329.04349122903972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11308.60692000002</v>
      </c>
      <c r="E33" s="19">
        <v>25507.171760000056</v>
      </c>
      <c r="F33" s="19">
        <v>125.55538396943425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-611.64708999999493</v>
      </c>
      <c r="E34" s="19">
        <v>20387.438149999998</v>
      </c>
      <c r="F34" s="19">
        <v>3433.2028359687229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29258.620130000025</v>
      </c>
      <c r="E35" s="19">
        <v>65582.849650000062</v>
      </c>
      <c r="F35" s="19">
        <v>124.14881275537448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25.404040000000002</v>
      </c>
      <c r="E36" s="106">
        <v>0</v>
      </c>
      <c r="F36" s="106">
        <v>-100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5"/>
      <c r="E38" s="325"/>
      <c r="F38" s="325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I15" sqref="I15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(fevereiro)","TABLE III - Regional Gov. budget execution (february)")</f>
        <v>TABLE III - Regional Gov. budget execution (february)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2023</v>
      </c>
      <c r="E3" s="293">
        <v>2024</v>
      </c>
      <c r="F3" s="293" t="s">
        <v>80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86468.543279999969</v>
      </c>
      <c r="E5" s="225">
        <v>106495.14164</v>
      </c>
      <c r="F5" s="225">
        <v>23.16055943622235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82950.865419999973</v>
      </c>
      <c r="E6" s="231">
        <v>99427.651089999999</v>
      </c>
      <c r="F6" s="231">
        <v>19.863307738351054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27005.471799999999</v>
      </c>
      <c r="E7" s="231">
        <v>38971.061909999997</v>
      </c>
      <c r="F7" s="231">
        <v>44.308020976697016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55945.393619999973</v>
      </c>
      <c r="E8" s="231">
        <v>60456.589180000003</v>
      </c>
      <c r="F8" s="231">
        <v>8.0635692558382885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3517.6778600000066</v>
      </c>
      <c r="E9" s="231">
        <v>7067.4905500000041</v>
      </c>
      <c r="F9" s="231">
        <v>100.91352395753459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1581.4897499999984</v>
      </c>
      <c r="E10" s="232">
        <v>229.30269999999632</v>
      </c>
      <c r="F10" s="232">
        <v>-85.500841848643233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88050.033029999962</v>
      </c>
      <c r="E12" s="232">
        <v>106724.44434</v>
      </c>
      <c r="F12" s="232">
        <v>21.208863492007303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105517.17969999996</v>
      </c>
      <c r="E14" s="232">
        <v>124226.72983999987</v>
      </c>
      <c r="F14" s="232">
        <v>17.731283373185057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31325.358900000014</v>
      </c>
      <c r="E15" s="231">
        <v>33932.436469999928</v>
      </c>
      <c r="F15" s="231">
        <v>8.3225784525645441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31506.936400000006</v>
      </c>
      <c r="E16" s="231">
        <v>33436.446959999994</v>
      </c>
      <c r="F16" s="231">
        <v>6.1240818069508984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435.93522000000252</v>
      </c>
      <c r="E17" s="231">
        <v>828.89969000000508</v>
      </c>
      <c r="F17" s="231">
        <v>90.142858840357135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39517.082269999941</v>
      </c>
      <c r="E18" s="231">
        <v>55991.036729999934</v>
      </c>
      <c r="F18" s="231">
        <v>41.68818524465425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2653.4819800000005</v>
      </c>
      <c r="E19" s="231">
        <v>0</v>
      </c>
      <c r="F19" s="231">
        <v>-100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78.384929999999997</v>
      </c>
      <c r="E20" s="231">
        <v>37.909989999999951</v>
      </c>
      <c r="F20" s="231">
        <v>-51.636124443818531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13228.117649999997</v>
      </c>
      <c r="E21" s="232">
        <v>9629.0879200000054</v>
      </c>
      <c r="F21" s="232">
        <v>-27.207421533629862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6779.0153999999975</v>
      </c>
      <c r="E22" s="231">
        <v>5859.8884200000048</v>
      </c>
      <c r="F22" s="231">
        <v>-13.558414102437254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6449.1022499999999</v>
      </c>
      <c r="E23" s="231">
        <v>3769.1995000000006</v>
      </c>
      <c r="F23" s="231">
        <v>-41.554663674312174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118745.29734999996</v>
      </c>
      <c r="E25" s="300">
        <v>133855.81775999989</v>
      </c>
      <c r="F25" s="300">
        <v>12.72515269843646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-30695.264320000002</v>
      </c>
      <c r="E27" s="287">
        <v>-27131.373419999887</v>
      </c>
      <c r="F27" s="287">
        <v>11.610556152396455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-19048.636419999995</v>
      </c>
      <c r="E29" s="19">
        <v>-17731.588199999867</v>
      </c>
      <c r="F29" s="19">
        <v>6.9141338569373989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-11646.627899999998</v>
      </c>
      <c r="E30" s="19">
        <v>-9399.7852200000088</v>
      </c>
      <c r="F30" s="19">
        <v>19.291787282050876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-30259.329099999999</v>
      </c>
      <c r="E31" s="19">
        <v>-26302.473729999881</v>
      </c>
      <c r="F31" s="19">
        <v>13.076480833146153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5"/>
      <c r="E33" s="325"/>
      <c r="F33" s="325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I15" sqref="I15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(janeiro-fevereiro)","TABLE IV - Regional Gov. tax revenue budget execution (january-february)")</f>
        <v>TABLE IV - Regional Gov. tax revenue budget execution (january-february)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+IF(Índice!$D$2=1,"VH (%)","yoy change (%)")</f>
        <v>yoy change (%)</v>
      </c>
      <c r="G3" s="240" t="str">
        <f>+IF(Índice!$D$2=1,"Grau de Execução (%)","Execution level (%)")</f>
        <v>Execution level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126963.93351999996</v>
      </c>
      <c r="E5" s="33">
        <v>148858.93636999998</v>
      </c>
      <c r="F5" s="270">
        <v>0.17245057114232387</v>
      </c>
      <c r="G5" s="270">
        <v>0.13882914095149945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27005.471799999999</v>
      </c>
      <c r="E7" s="70">
        <v>38971.061909999997</v>
      </c>
      <c r="F7" s="271">
        <v>0.44308020976697016</v>
      </c>
      <c r="G7" s="271">
        <v>0.10281977111064095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24908.746930000001</v>
      </c>
      <c r="E8" s="70">
        <v>25805.811079999999</v>
      </c>
      <c r="F8" s="271">
        <v>3.6014021601366686E-2</v>
      </c>
      <c r="G8" s="271">
        <v>0.10741145720858089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2096.72487</v>
      </c>
      <c r="E9" s="70">
        <v>13165.250830000001</v>
      </c>
      <c r="F9" s="271">
        <v>5.2789596376562278</v>
      </c>
      <c r="G9" s="271">
        <v>9.4870266283693536E-2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99958.461719999963</v>
      </c>
      <c r="E11" s="70">
        <v>109887.87445999999</v>
      </c>
      <c r="F11" s="271">
        <v>9.9335389612276614E-2</v>
      </c>
      <c r="G11" s="271">
        <v>0.15851745077849591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2853.0806699999998</v>
      </c>
      <c r="E12" s="70">
        <v>3201.1762400000002</v>
      </c>
      <c r="F12" s="271">
        <v>0.12200691472211345</v>
      </c>
      <c r="G12" s="271">
        <v>6.215393445169308E-2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85489.678929999995</v>
      </c>
      <c r="E13" s="70">
        <v>95698.535990000004</v>
      </c>
      <c r="F13" s="271">
        <v>0.11941625220465668</v>
      </c>
      <c r="G13" s="271">
        <v>0.18139514778222454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620.56613000000004</v>
      </c>
      <c r="E14" s="70">
        <v>427.43428999999998</v>
      </c>
      <c r="F14" s="271">
        <v>-0.31121878984919793</v>
      </c>
      <c r="G14" s="271">
        <v>8.3499568275053712E-2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2738.2063499999999</v>
      </c>
      <c r="E15" s="70">
        <v>2602.2979799999998</v>
      </c>
      <c r="F15" s="271">
        <v>-4.9634086196608251E-2</v>
      </c>
      <c r="G15" s="271">
        <v>6.9394612799999991E-2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1015.74978</v>
      </c>
      <c r="E16" s="70">
        <v>1411.3776400000002</v>
      </c>
      <c r="F16" s="271">
        <v>0.38949342425651334</v>
      </c>
      <c r="G16" s="271">
        <v>0.12784217753623189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7241.1798600000002</v>
      </c>
      <c r="E17" s="70">
        <v>6547.0523199999998</v>
      </c>
      <c r="F17" s="271">
        <v>-9.5858348144938987E-2</v>
      </c>
      <c r="G17" s="271">
        <v>0.10823339449813071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3202.3873199999998</v>
      </c>
      <c r="E18" s="70">
        <v>3468.0855699999997</v>
      </c>
      <c r="F18" s="271">
        <v>8.2968805284927116E-2</v>
      </c>
      <c r="G18" s="271">
        <v>0.10173657735150904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648.44985999999983</v>
      </c>
      <c r="E19" s="70">
        <v>0</v>
      </c>
      <c r="F19" s="271">
        <v>-1</v>
      </c>
      <c r="G19" s="271">
        <v>0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64598.727670000007</v>
      </c>
      <c r="E21" s="33">
        <v>88203.081820000007</v>
      </c>
      <c r="F21" s="270">
        <v>0.36539967583544208</v>
      </c>
      <c r="G21" s="270">
        <v>0.16531481139680371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191562.66118999996</v>
      </c>
      <c r="E23" s="139">
        <v>237062.01818999997</v>
      </c>
      <c r="F23" s="274">
        <v>0.237516835052066</v>
      </c>
      <c r="G23" s="274">
        <v>0.1476293652110906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I15" sqref="I1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(janeiro-fevereiro)","TABLE V - Regional Gov. non-tax revenue budget execution (january-february)")</f>
        <v>TABLE V - Regional Gov. non-tax revenue budget execution (january-february)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+IF(Índice!$D$2=1,"VH (%)","yoy change (%)")</f>
        <v>yoy change (%)</v>
      </c>
      <c r="G3" s="226" t="str">
        <f>+IF(Índice!$D$2=1,"Grau de Execução (%)","Execution level (%)")</f>
        <v>Execution level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126963.93351999996</v>
      </c>
      <c r="E5" s="41">
        <v>148858.93636999998</v>
      </c>
      <c r="F5" s="276">
        <v>0.17245057114232387</v>
      </c>
      <c r="G5" s="42">
        <v>0.13882914095149945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64598.727670000007</v>
      </c>
      <c r="E7" s="41">
        <v>88203.081820000007</v>
      </c>
      <c r="F7" s="276">
        <v>0.36539967583544208</v>
      </c>
      <c r="G7" s="42">
        <v>0.16531481139680371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50231.719610000007</v>
      </c>
      <c r="E8" s="41">
        <v>57545.352930000001</v>
      </c>
      <c r="F8" s="276">
        <v>0.14559790858810273</v>
      </c>
      <c r="G8" s="42">
        <v>0.21216782451260552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2813.0192799999995</v>
      </c>
      <c r="E10" s="71">
        <v>2535.6156699999997</v>
      </c>
      <c r="F10" s="278">
        <v>-9.8614187244390306E-2</v>
      </c>
      <c r="G10" s="43">
        <v>0.10499172050412772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242.88646</v>
      </c>
      <c r="E11" s="71">
        <v>7.6011699999999998</v>
      </c>
      <c r="F11" s="278">
        <v>-0.96870484258364997</v>
      </c>
      <c r="G11" s="43">
        <v>8.7762664396888511E-4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45403.528540000007</v>
      </c>
      <c r="E12" s="71">
        <v>49364.531660000001</v>
      </c>
      <c r="F12" s="278">
        <v>8.7239984366201728E-2</v>
      </c>
      <c r="G12" s="43">
        <v>0.25244128306558966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1678.5056000000002</v>
      </c>
      <c r="E13" s="47">
        <v>1793.4769900000001</v>
      </c>
      <c r="F13" s="278">
        <v>6.8496280262633658E-2</v>
      </c>
      <c r="G13" s="43">
        <v>0.1795998751847469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93.779729999999986</v>
      </c>
      <c r="E14" s="71">
        <v>3844.1274399999998</v>
      </c>
      <c r="F14" s="278">
        <v>39.99102695219959</v>
      </c>
      <c r="G14" s="43">
        <v>0.11691587840786777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14367.00806</v>
      </c>
      <c r="E17" s="41">
        <v>30657.728890000002</v>
      </c>
      <c r="F17" s="276">
        <v>1.1338979390814097</v>
      </c>
      <c r="G17" s="42">
        <v>0.11687125737197858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131.72499999999999</v>
      </c>
      <c r="E18" s="71">
        <v>306.94</v>
      </c>
      <c r="F18" s="278">
        <v>1.330157525147087</v>
      </c>
      <c r="G18" s="43">
        <v>1.1306621283994412E-2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12732.56179</v>
      </c>
      <c r="E19" s="44">
        <v>29390.866310000001</v>
      </c>
      <c r="F19" s="278">
        <v>1.3083230849178547</v>
      </c>
      <c r="G19" s="43">
        <v>0.12989703605445621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0</v>
      </c>
      <c r="E20" s="71">
        <v>1.7054400000000001</v>
      </c>
      <c r="F20" s="278">
        <v>0</v>
      </c>
      <c r="G20" s="43">
        <v>0.82388405797101461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1502.72127</v>
      </c>
      <c r="E21" s="47">
        <v>958.21713999999997</v>
      </c>
      <c r="F21" s="278">
        <v>-0.3623453935672315</v>
      </c>
      <c r="G21" s="43">
        <v>0.10755934235295042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191562.66118999996</v>
      </c>
      <c r="E23" s="287">
        <v>237062.01818999997</v>
      </c>
      <c r="F23" s="288">
        <v>0.237516835052066</v>
      </c>
      <c r="G23" s="288">
        <v>0.1476293652110906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I15" sqref="I1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(janeiro-fevereiro)","TABLE VI - Regional Gov. expenditure budget execution (january-february)")</f>
        <v>TABLE VI - Regional Gov. expenditure budget execution (january-february)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7">
        <v>2023</v>
      </c>
      <c r="E3" s="329">
        <v>2024</v>
      </c>
      <c r="F3" s="153">
        <v>2023</v>
      </c>
      <c r="G3" s="153">
        <v>2024</v>
      </c>
      <c r="H3" s="330" t="str">
        <f>+IF(Índice!$D$2=1,"VH (%)","yoy change (%)")</f>
        <v>yoy change (%)</v>
      </c>
    </row>
    <row r="4" spans="1:15" ht="12" customHeight="1">
      <c r="C4" s="132"/>
      <c r="D4" s="328"/>
      <c r="E4" s="328"/>
      <c r="F4" s="326" t="str">
        <f>+IF(Índice!$D$2=1,"Grau de Execução (%)","Execution level (%)")</f>
        <v>Execution level (%)</v>
      </c>
      <c r="G4" s="326" t="str">
        <f>+IF(Índice!$D$2="PT","Grau de Execução (%)","Execution Level (%)")</f>
        <v>Execution Level (%)</v>
      </c>
      <c r="H4" s="331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165887.04620999994</v>
      </c>
      <c r="E5" s="253">
        <v>180897.11753999992</v>
      </c>
      <c r="F5" s="253">
        <v>11.856250919936267</v>
      </c>
      <c r="G5" s="253">
        <v>12.419771045513961</v>
      </c>
      <c r="H5" s="253">
        <v>9.0483685573606554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57055.606709999942</v>
      </c>
      <c r="E6" s="74">
        <v>61445.177139999963</v>
      </c>
      <c r="F6" s="74">
        <v>12.945539900973142</v>
      </c>
      <c r="G6" s="74">
        <v>13.446077819730615</v>
      </c>
      <c r="H6" s="254">
        <v>7.6934953164395612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50378.353799999924</v>
      </c>
      <c r="E7" s="75">
        <v>54351.443649999957</v>
      </c>
      <c r="F7" s="75">
        <v>14.299691573844834</v>
      </c>
      <c r="G7" s="75">
        <v>14.952549941510798</v>
      </c>
      <c r="H7" s="254">
        <v>7.8865019404426011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525.25616000000002</v>
      </c>
      <c r="E8" s="75">
        <v>539.97100999999998</v>
      </c>
      <c r="F8" s="75">
        <v>8.2796807903254752</v>
      </c>
      <c r="G8" s="75">
        <v>7.0189494512316708</v>
      </c>
      <c r="H8" s="254">
        <v>2.801461671577532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6151.9967500000039</v>
      </c>
      <c r="E9" s="75">
        <v>6553.7624800000031</v>
      </c>
      <c r="F9" s="75">
        <v>7.4943985067135124</v>
      </c>
      <c r="G9" s="75">
        <v>7.6394087060546623</v>
      </c>
      <c r="H9" s="254">
        <v>6.530655758230024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33850.430970000009</v>
      </c>
      <c r="E10" s="75">
        <v>35734.939509999997</v>
      </c>
      <c r="F10" s="75">
        <v>17.0778352312789</v>
      </c>
      <c r="G10" s="75">
        <v>17.465846372814109</v>
      </c>
      <c r="H10" s="254">
        <v>5.5671626209726437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18561.6603</v>
      </c>
      <c r="E11" s="75">
        <v>19688.239740000001</v>
      </c>
      <c r="F11" s="75">
        <v>12.211922952395682</v>
      </c>
      <c r="G11" s="75">
        <v>14.629242560573116</v>
      </c>
      <c r="H11" s="254">
        <v>6.0693893853881233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51875.782300000006</v>
      </c>
      <c r="E12" s="74">
        <v>63956.366699999984</v>
      </c>
      <c r="F12" s="74">
        <v>9.0011324251531573</v>
      </c>
      <c r="G12" s="74">
        <v>10.302013664058588</v>
      </c>
      <c r="H12" s="254">
        <v>23.28752235510861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44489.738900000004</v>
      </c>
      <c r="E13" s="74">
        <v>55626.430539999979</v>
      </c>
      <c r="F13" s="74">
        <v>9.7762487006126797</v>
      </c>
      <c r="G13" s="74">
        <v>10.697544327377843</v>
      </c>
      <c r="H13" s="254">
        <v>25.032045400473173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0</v>
      </c>
      <c r="E14" s="75">
        <v>0</v>
      </c>
      <c r="F14" s="74">
        <v>0</v>
      </c>
      <c r="G14" s="74">
        <v>0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44489.738900000004</v>
      </c>
      <c r="E15" s="75">
        <v>55626.430539999979</v>
      </c>
      <c r="F15" s="75">
        <v>9.7818873667258401</v>
      </c>
      <c r="G15" s="75">
        <v>10.707429774618218</v>
      </c>
      <c r="H15" s="254">
        <v>25.032045400473173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81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81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7386.0433999999987</v>
      </c>
      <c r="E18" s="75">
        <v>8329.9361600000011</v>
      </c>
      <c r="F18" s="72">
        <v>6.0918230951896195</v>
      </c>
      <c r="G18" s="72">
        <v>8.2620463468248975</v>
      </c>
      <c r="H18" s="77">
        <v>12.779409879990721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4447.4019800000005</v>
      </c>
      <c r="E19" s="72">
        <v>0</v>
      </c>
      <c r="F19" s="72">
        <v>18.052375408059653</v>
      </c>
      <c r="G19" s="72">
        <v>0</v>
      </c>
      <c r="H19" s="77">
        <v>-100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96.16395</v>
      </c>
      <c r="E20" s="72">
        <v>72.394449999999949</v>
      </c>
      <c r="F20" s="72">
        <v>1.3269557166039276</v>
      </c>
      <c r="G20" s="72">
        <v>1.7870103025092374</v>
      </c>
      <c r="H20" s="77">
        <v>-24.717682665905517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147325.38590999995</v>
      </c>
      <c r="E22" s="78">
        <v>161208.87779999993</v>
      </c>
      <c r="F22" s="78">
        <v>11.812903669344472</v>
      </c>
      <c r="G22" s="78">
        <v>12.194834301673529</v>
      </c>
      <c r="H22" s="76">
        <v>9.4236928715607124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14978.655149999995</v>
      </c>
      <c r="E24" s="78">
        <v>10270.290740000004</v>
      </c>
      <c r="F24" s="78">
        <v>4.8630200449087289</v>
      </c>
      <c r="G24" s="78">
        <v>3.5259309395766629</v>
      </c>
      <c r="H24" s="76">
        <v>-31.43382608684994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8123.1492299999973</v>
      </c>
      <c r="E25" s="72">
        <v>5921.1363400000046</v>
      </c>
      <c r="F25" s="72">
        <v>3.8951464959118485</v>
      </c>
      <c r="G25" s="72">
        <v>3.0294494436258481</v>
      </c>
      <c r="H25" s="77">
        <v>-27.107871930600901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6855.5059199999987</v>
      </c>
      <c r="E26" s="59">
        <v>4349.1543999999994</v>
      </c>
      <c r="F26" s="59">
        <v>7.0337430797641458</v>
      </c>
      <c r="G26" s="59">
        <v>4.538581872395449</v>
      </c>
      <c r="H26" s="77">
        <v>-36.559687195193902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6815.7486299999991</v>
      </c>
      <c r="E27" s="59">
        <v>3847.93806</v>
      </c>
      <c r="F27" s="59">
        <v>7.6664265083491197</v>
      </c>
      <c r="G27" s="59">
        <v>5.2298163588652278</v>
      </c>
      <c r="H27" s="77">
        <v>-43.543427598502845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1020.09887</v>
      </c>
      <c r="E28" s="72">
        <v>1683.404</v>
      </c>
      <c r="F28" s="72">
        <v>18.483484161461138</v>
      </c>
      <c r="G28" s="72">
        <v>21.730541665445717</v>
      </c>
      <c r="H28" s="77">
        <v>65.023611877934925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5716.4013299999997</v>
      </c>
      <c r="E29" s="72">
        <v>2164.53406</v>
      </c>
      <c r="F29" s="72">
        <v>7.3490676203670837</v>
      </c>
      <c r="G29" s="72">
        <v>3.5714045102309515</v>
      </c>
      <c r="H29" s="77">
        <v>-62.134672934169231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79.248429999999999</v>
      </c>
      <c r="E30" s="72">
        <v>0</v>
      </c>
      <c r="F30" s="72">
        <v>1.4149372844521291</v>
      </c>
      <c r="G30" s="72">
        <v>0</v>
      </c>
      <c r="H30" s="77">
        <v>-100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180865.70135999995</v>
      </c>
      <c r="E33" s="142">
        <v>191167.40827999992</v>
      </c>
      <c r="F33" s="143">
        <v>10.594512338497305</v>
      </c>
      <c r="G33" s="143">
        <v>10.937575615341183</v>
      </c>
      <c r="H33" s="141">
        <v>5.6957769452900164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25.404040000000002</v>
      </c>
      <c r="E36" s="150">
        <v>0</v>
      </c>
      <c r="F36" s="150">
        <v>2.5831498605666626E-2</v>
      </c>
      <c r="G36" s="150">
        <v>0</v>
      </c>
      <c r="H36" s="128">
        <v>-100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44649.332170000001</v>
      </c>
      <c r="E37" s="150">
        <v>49924.201989999994</v>
      </c>
      <c r="F37" s="150">
        <v>16.958688253000524</v>
      </c>
      <c r="G37" s="150">
        <v>19.467903070044382</v>
      </c>
      <c r="H37" s="128">
        <v>11.813994887798549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I15" sqref="I15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(janeiro-fevereiro)","TABLE VII - Regional Gov. expenditure by functional classification (january-february)")</f>
        <v>TABLE VII - Regional Gov. expenditure by functional classification (january-february)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9">
        <v>2023</v>
      </c>
      <c r="E3" s="332">
        <v>2024</v>
      </c>
      <c r="F3" s="333" t="str">
        <f>+IF(Índice!$D$2=1,"Peso na estrutura
 em 2024","Weight in 2024 structure")</f>
        <v>Weight in 2024 structure</v>
      </c>
      <c r="M3" s="7"/>
      <c r="N3" s="7"/>
      <c r="P3" s="9"/>
      <c r="Q3" s="9"/>
    </row>
    <row r="4" spans="2:17" ht="13.5" customHeight="1">
      <c r="C4" s="134"/>
      <c r="D4" s="328"/>
      <c r="E4" s="328"/>
      <c r="F4" s="328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30872.753330000007</v>
      </c>
      <c r="E5" s="34">
        <v>31657.677</v>
      </c>
      <c r="F5" s="34">
        <v>16.560185276787074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1231.6411699999994</v>
      </c>
      <c r="E7" s="34">
        <v>1119.2723099999996</v>
      </c>
      <c r="F7" s="34">
        <v>0.58549327004560225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45504.073169999974</v>
      </c>
      <c r="E8" s="34">
        <v>41435.612420000049</v>
      </c>
      <c r="F8" s="34">
        <v>21.675040108986533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2377.7273200000004</v>
      </c>
      <c r="E9" s="34">
        <v>2255.8798400000005</v>
      </c>
      <c r="F9" s="34">
        <v>1.1800546234826008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11040.861889999998</v>
      </c>
      <c r="E10" s="34">
        <v>3371.1896499999998</v>
      </c>
      <c r="F10" s="34">
        <v>1.7634751029643447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34802.888180000016</v>
      </c>
      <c r="E11" s="34">
        <v>47039.712190000006</v>
      </c>
      <c r="F11" s="34">
        <v>24.606554335403054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2457.8543500000001</v>
      </c>
      <c r="E12" s="34">
        <v>2772.7847800000004</v>
      </c>
      <c r="F12" s="34">
        <v>1.4504484864589178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51311.019229999976</v>
      </c>
      <c r="E13" s="34">
        <v>60078.007399999973</v>
      </c>
      <c r="F13" s="34">
        <v>31.426908980219377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1266.8827199999998</v>
      </c>
      <c r="E14" s="34">
        <v>1437.2726899999998</v>
      </c>
      <c r="F14" s="34">
        <v>0.75183981565249236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180865.70135999995</v>
      </c>
      <c r="E17" s="145">
        <v>191167.40828000003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25.404040000000002</v>
      </c>
      <c r="E20" s="152">
        <v>0</v>
      </c>
      <c r="F20" s="152">
        <v>0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44649.332170000001</v>
      </c>
      <c r="E21" s="283">
        <v>49924.201989999994</v>
      </c>
      <c r="F21" s="283">
        <v>26.115435909910317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Props1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2024-03-22T14:00:07Z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