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Fevereiro\"/>
    </mc:Choice>
  </mc:AlternateContent>
  <xr:revisionPtr revIDLastSave="0" documentId="13_ncr:1_{289A004E-BDCC-4A4F-89BB-F418ABA3DBDE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11" l="1"/>
  <c r="D3" i="61"/>
  <c r="G3" i="32"/>
  <c r="C23" i="38"/>
  <c r="D3" i="38"/>
  <c r="D42" i="38"/>
  <c r="C41" i="38"/>
  <c r="D33" i="38"/>
  <c r="C32" i="38"/>
  <c r="D24" i="38"/>
  <c r="C2" i="38"/>
  <c r="C2" i="12"/>
  <c r="C2" i="39"/>
  <c r="C2" i="13"/>
  <c r="C2" i="51"/>
  <c r="C2" i="61"/>
  <c r="C2" i="32"/>
  <c r="C2" i="8"/>
  <c r="C2" i="60"/>
  <c r="C2" i="9"/>
  <c r="C2" i="50"/>
  <c r="C2" i="10"/>
  <c r="C2" i="11"/>
  <c r="L3" i="12"/>
  <c r="K3" i="12"/>
  <c r="J3" i="12" l="1"/>
  <c r="I3" i="12"/>
  <c r="H3" i="12"/>
  <c r="G3" i="12"/>
  <c r="A15" i="54" l="1"/>
  <c r="E2" i="53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<sst xmlns="http://schemas.openxmlformats.org/spreadsheetml/2006/main" count="120" uniqueCount="102">
  <si>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</si>
  <si>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</si>
  <si>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</si>
  <si>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</si>
  <si>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</si>
  <si>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</si>
  <si>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</si>
  <si>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</si>
  <si>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</si>
  <si>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</si>
  <si>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</si>
  <si>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</si>
  <si>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</si>
  <si>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</si>
  <si>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</si>
  <si>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</si>
  <si>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</si>
  <si>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</si>
  <si>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</si>
  <si>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</si>
  <si>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</si>
  <si>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</si>
  <si>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</si>
  <si>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</si>
  <si>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</si>
  <si>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</si>
  <si>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</si>
  <si>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</si>
  <si>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</si>
  <si>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Gabinete do Secretário Regional do Turismo e Cultura</t>
  </si>
  <si>
    <t>Direção Regional da Cultura</t>
  </si>
  <si>
    <t>Direção Regional do Arquivo e Biblioteca da Madeira</t>
  </si>
  <si>
    <t>Direção Regional do Trabalho e Ação Inspetiva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</si>
  <si>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</si>
  <si>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</si>
  <si>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</si>
  <si>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</si>
  <si>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</si>
  <si>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</si>
  <si>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</si>
  <si>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</si>
  <si>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</si>
  <si>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</si>
  <si>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</si>
  <si>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</si>
  <si>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</si>
  <si>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</si>
  <si>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</si>
  <si>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</si>
  <si>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</si>
  <si>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</si>
  <si>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</si>
  <si>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</si>
  <si>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</si>
  <si>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</si>
  <si>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</si>
  <si>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</si>
  <si>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</si>
  <si>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</si>
  <si>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</si>
  <si>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</si>
  <si>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</si>
  <si>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</si>
  <si>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</si>
  <si>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</si>
  <si>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</si>
  <si>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</si>
  <si>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</si>
  <si>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</si>
  <si>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</si>
  <si>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</si>
  <si>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</si>
  <si>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</si>
  <si>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</si>
  <si>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</si>
  <si>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</si>
  <si>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</si>
  <si>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</si>
  <si>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</si>
  <si>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</si>
  <si>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CARAM -Centro de Abate da Região Autónoma da Madeira, EPERAM</t>
  </si>
  <si>
    <t>EHTM-Escola de Hotelaria e Turismo da Madeira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</si>
  <si>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</si>
  <si>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</si>
  <si>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</si>
  <si>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</si>
  <si>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</si>
  <si>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</si>
  <si>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</si>
  <si>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Economia, Turismo e Cultura</t>
  </si>
  <si>
    <t>Secretaria Regional de Agricultura, Pescas e Ambiente</t>
  </si>
  <si>
    <t>Secretaria Regional de Inclusão, Trabalho e Juventude</t>
  </si>
  <si>
    <t>Gabinete do Secretário e Serviços Dependentes-SRS</t>
  </si>
  <si>
    <t>Gabinete da Secretária Regional</t>
  </si>
  <si>
    <t>Direção Regional de Pescas</t>
  </si>
  <si>
    <t>Instituto do Vinho, do Bordado e do Artesanato da Madeira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</si>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</sst>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3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0" fontId="70" fillId="0" borderId="38" xfId="0" applyFont="1" applyBorder="1"/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0" fontId="71" fillId="0" borderId="123" xfId="0" applyFont="1" applyBorder="1" applyAlignment="1">
      <alignment vertical="center"/>
    </xf>
    <xf numFmtId="0" fontId="70" fillId="0" borderId="0" xfId="0" applyFont="1"/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8" fillId="0" borderId="21" xfId="62" applyFont="1" applyBorder="1" applyAlignment="1">
      <alignment horizontal="center" vertical="center"/>
    </xf>
    <xf numFmtId="0" fontId="65" fillId="0" borderId="25" xfId="62" applyFont="1" applyBorder="1" applyAlignment="1">
      <alignment horizont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25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03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O16" sqref="O16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zoomScale="120" zoomScaleNormal="120" zoomScalePageLayoutView="115" workbookViewId="0">
      <selection activeCell="O8" sqref="O8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(janeiro-fevereiro)","TABLE VIII - Budget execution by organic and economic cross-classification (january-february)")</f>
        <v>TABLE VIII - Budget execution by organic and economic cross-classification (january-february)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Thousands</v>
      </c>
      <c r="O2" s="190" t="str">
        <f>+IF(Índice!$D$2=1,"índice","Index")</f>
        <v>Index</v>
      </c>
    </row>
    <row r="3" spans="2:15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+IF(Índice!$D$2=1,"Finanças","Finances")</f>
        <v>Finances</v>
      </c>
      <c r="H3" s="192" t="str">
        <f>+IF(Índice!$D$2=1,"Saúde e Proteção Civil","Health and Civil Protection")</f>
        <v>Health and Civil Protection</v>
      </c>
      <c r="I3" s="192" t="str">
        <f>+IF(Índice!$D$2=1,"Economia, Turismo e Cultura","Economy, Tourism and Culture")</f>
        <v>Economy, Tourism and Culture</v>
      </c>
      <c r="J3" s="192" t="str">
        <f>+IF(Índice!$D$2=1,"Agricultura, Pescas e Ambiente","Agriculture, Fisheries and  Enviroment")</f>
        <v>Agriculture, Fisheries and  Enviroment</v>
      </c>
      <c r="K3" s="192" t="str">
        <f>+IF(Índice!$D$2=1,"Equipamentos e Infraestruturas","Equipment and infrastructures")</f>
        <v>Equipment and infrastructures</v>
      </c>
      <c r="L3" s="192" t="str">
        <f>+IF(Índice!$D$2=1,"Inclusão, Trabalho e Jventude","Inclusion, Labor and Youth")</f>
        <v>Inclusion, Labor and Youth</v>
      </c>
      <c r="M3" s="193" t="s">
        <v>5</v>
      </c>
    </row>
    <row r="4" spans="2:15" ht="27" customHeight="1">
      <c r="C4" s="253" t="str">
        <f>+IF(Índice!$D$2=1,"Despesa corrente","Current expenditure")</f>
        <v>Current expenditure</v>
      </c>
      <c r="D4" s="194">
        <v>1935</v>
      </c>
      <c r="E4" s="194">
        <v>317.56431999999995</v>
      </c>
      <c r="F4" s="194">
        <v>62290.429940000024</v>
      </c>
      <c r="G4" s="194">
        <v>30017.630430000001</v>
      </c>
      <c r="H4" s="194">
        <v>52750.17525</v>
      </c>
      <c r="I4" s="194">
        <v>3451.5768699999994</v>
      </c>
      <c r="J4" s="194">
        <v>5645.56041</v>
      </c>
      <c r="K4" s="194">
        <v>32042.68506</v>
      </c>
      <c r="L4" s="194">
        <v>1784.65796</v>
      </c>
      <c r="M4" s="194">
        <v>190235.28024000002</v>
      </c>
    </row>
    <row r="5" spans="2:15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256.28433999999993</v>
      </c>
      <c r="F5" s="196">
        <v>47801.455420000028</v>
      </c>
      <c r="G5" s="196">
        <v>4578.8796299999995</v>
      </c>
      <c r="H5" s="196">
        <v>764.32669999999985</v>
      </c>
      <c r="I5" s="196">
        <v>2206.3590099999992</v>
      </c>
      <c r="J5" s="196">
        <v>3820.3454500000003</v>
      </c>
      <c r="K5" s="196">
        <v>2334.0362699999991</v>
      </c>
      <c r="L5" s="196">
        <v>1067.4882400000001</v>
      </c>
      <c r="M5" s="196">
        <v>62829.175060000016</v>
      </c>
      <c r="N5" s="21"/>
    </row>
    <row r="6" spans="2:15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217.82404999999997</v>
      </c>
      <c r="F6" s="198">
        <v>42455.396680000034</v>
      </c>
      <c r="G6" s="198">
        <v>3670.5974699999992</v>
      </c>
      <c r="H6" s="198">
        <v>677.90779999999984</v>
      </c>
      <c r="I6" s="198">
        <v>1971.312009999999</v>
      </c>
      <c r="J6" s="198">
        <v>3390.7821800000006</v>
      </c>
      <c r="K6" s="198">
        <v>2069.7994799999992</v>
      </c>
      <c r="L6" s="198">
        <v>931.51941000000011</v>
      </c>
      <c r="M6" s="198">
        <v>55385.139080000044</v>
      </c>
    </row>
    <row r="7" spans="2:15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3.9110399999999998</v>
      </c>
      <c r="F7" s="198">
        <v>375.32421000000005</v>
      </c>
      <c r="G7" s="198">
        <v>429.41730999999999</v>
      </c>
      <c r="H7" s="198">
        <v>2.4965599999999997</v>
      </c>
      <c r="I7" s="198">
        <v>1.3051900000000001</v>
      </c>
      <c r="J7" s="198">
        <v>29.109669999999998</v>
      </c>
      <c r="K7" s="198">
        <v>20.459090000000003</v>
      </c>
      <c r="L7" s="198">
        <v>29.194269999999999</v>
      </c>
      <c r="M7" s="198">
        <v>891.21734000000015</v>
      </c>
    </row>
    <row r="8" spans="2:15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34.549250000000001</v>
      </c>
      <c r="F8" s="198">
        <v>4970.7345299999979</v>
      </c>
      <c r="G8" s="198">
        <v>478.86484999999988</v>
      </c>
      <c r="H8" s="198">
        <v>83.92234000000002</v>
      </c>
      <c r="I8" s="198">
        <v>233.74180999999999</v>
      </c>
      <c r="J8" s="198">
        <v>400.45359999999994</v>
      </c>
      <c r="K8" s="198">
        <v>243.77769999999995</v>
      </c>
      <c r="L8" s="198">
        <v>106.77456000000002</v>
      </c>
      <c r="M8" s="198">
        <v>6552.8186399999977</v>
      </c>
    </row>
    <row r="9" spans="2:15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61.279979999999995</v>
      </c>
      <c r="F9" s="196">
        <v>2205.0140300000003</v>
      </c>
      <c r="G9" s="196">
        <v>5009.2542999999978</v>
      </c>
      <c r="H9" s="196">
        <v>161.14268000000001</v>
      </c>
      <c r="I9" s="196">
        <v>855.26198999999986</v>
      </c>
      <c r="J9" s="196">
        <v>141.73914000000002</v>
      </c>
      <c r="K9" s="196">
        <v>28607.91332</v>
      </c>
      <c r="L9" s="196">
        <v>19.952400000000001</v>
      </c>
      <c r="M9" s="196">
        <v>37061.557840000001</v>
      </c>
    </row>
    <row r="10" spans="2:15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10.932830000000001</v>
      </c>
      <c r="F10" s="198">
        <v>1327.8757700000001</v>
      </c>
      <c r="G10" s="198">
        <v>176.46250000000006</v>
      </c>
      <c r="H10" s="198">
        <v>6.6763900000000005</v>
      </c>
      <c r="I10" s="198">
        <v>7.5274200000000002</v>
      </c>
      <c r="J10" s="198">
        <v>2.4252099999999999</v>
      </c>
      <c r="K10" s="198">
        <v>80.001350000000016</v>
      </c>
      <c r="L10" s="198">
        <v>1.6815500000000001</v>
      </c>
      <c r="M10" s="198">
        <v>1613.5830200000003</v>
      </c>
    </row>
    <row r="11" spans="2:15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50.347149999999992</v>
      </c>
      <c r="F11" s="198">
        <v>877.13825999999995</v>
      </c>
      <c r="G11" s="198">
        <v>4832.7917999999981</v>
      </c>
      <c r="H11" s="198">
        <v>154.46629000000001</v>
      </c>
      <c r="I11" s="198">
        <v>847.73456999999985</v>
      </c>
      <c r="J11" s="198">
        <v>139.31393000000003</v>
      </c>
      <c r="K11" s="198">
        <v>28527.911970000001</v>
      </c>
      <c r="L11" s="198">
        <v>18.270849999999999</v>
      </c>
      <c r="M11" s="198">
        <v>35447.974820000003</v>
      </c>
    </row>
    <row r="12" spans="2:15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4.5179399999999994</v>
      </c>
      <c r="G12" s="198">
        <v>18859.970430000005</v>
      </c>
      <c r="H12" s="198">
        <v>0</v>
      </c>
      <c r="I12" s="198">
        <v>8.5299999999999994E-3</v>
      </c>
      <c r="J12" s="198">
        <v>0</v>
      </c>
      <c r="K12" s="198">
        <v>0</v>
      </c>
      <c r="L12" s="198">
        <v>0</v>
      </c>
      <c r="M12" s="198">
        <v>18864.496900000006</v>
      </c>
    </row>
    <row r="13" spans="2:15" ht="15" customHeight="1">
      <c r="B13" s="195"/>
      <c r="C13" s="104" t="str">
        <f>+IF(Índice!$D$2=1,"Transferências correntes","Current transfers")</f>
        <v>Current transfers</v>
      </c>
      <c r="D13" s="196">
        <v>1935</v>
      </c>
      <c r="E13" s="196">
        <v>0</v>
      </c>
      <c r="F13" s="196">
        <v>12274.057349999999</v>
      </c>
      <c r="G13" s="196">
        <v>1486.4145899999999</v>
      </c>
      <c r="H13" s="196">
        <v>51821.83423</v>
      </c>
      <c r="I13" s="196">
        <v>388.95886000000002</v>
      </c>
      <c r="J13" s="196">
        <v>1673.9796200000001</v>
      </c>
      <c r="K13" s="196">
        <v>1065.10446</v>
      </c>
      <c r="L13" s="196">
        <v>697.21731999999997</v>
      </c>
      <c r="M13" s="196">
        <v>71342.566429999992</v>
      </c>
    </row>
    <row r="14" spans="2:15" ht="15" customHeight="1">
      <c r="B14" s="195"/>
      <c r="C14" s="109" t="str">
        <f>IF(Índice!$D$2=1,"Administração Pública","Public Administration")</f>
        <v>Public Administration</v>
      </c>
      <c r="D14" s="200">
        <v>1935</v>
      </c>
      <c r="E14" s="200">
        <v>0</v>
      </c>
      <c r="F14" s="200">
        <v>2867.2100399999999</v>
      </c>
      <c r="G14" s="200">
        <v>1469.3126</v>
      </c>
      <c r="H14" s="200">
        <v>51815.951679999998</v>
      </c>
      <c r="I14" s="200">
        <v>0</v>
      </c>
      <c r="J14" s="200">
        <v>1669.8205700000001</v>
      </c>
      <c r="K14" s="200">
        <v>1058.8102100000001</v>
      </c>
      <c r="L14" s="200">
        <v>623.22015999999996</v>
      </c>
      <c r="M14" s="200">
        <v>61439.325260000005</v>
      </c>
    </row>
    <row r="15" spans="2:15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</row>
    <row r="16" spans="2:15" ht="15" customHeight="1">
      <c r="B16" s="195"/>
      <c r="C16" s="201" t="str">
        <f>IF(Índice!$D$2=1,"Administração Regional","Regional Administration")</f>
        <v>Regional Administration</v>
      </c>
      <c r="D16" s="198">
        <v>1935</v>
      </c>
      <c r="E16" s="198">
        <v>0</v>
      </c>
      <c r="F16" s="198">
        <v>2867.2100399999999</v>
      </c>
      <c r="G16" s="198">
        <v>1469.3126</v>
      </c>
      <c r="H16" s="198">
        <v>51815.951679999998</v>
      </c>
      <c r="I16" s="198">
        <v>0</v>
      </c>
      <c r="J16" s="198">
        <v>1669.8205700000001</v>
      </c>
      <c r="K16" s="198">
        <v>1058.8102100000001</v>
      </c>
      <c r="L16" s="198">
        <v>623.22015999999996</v>
      </c>
      <c r="M16" s="198">
        <v>61439.325260000005</v>
      </c>
    </row>
    <row r="17" spans="2:13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</row>
    <row r="18" spans="2:13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</row>
    <row r="19" spans="2:13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0</v>
      </c>
      <c r="F19" s="200">
        <v>9406.8473099999992</v>
      </c>
      <c r="G19" s="200">
        <v>17.101990000000001</v>
      </c>
      <c r="H19" s="200">
        <v>5.8825500000000002</v>
      </c>
      <c r="I19" s="200">
        <v>388.95886000000002</v>
      </c>
      <c r="J19" s="200">
        <v>4.1590499999999997</v>
      </c>
      <c r="K19" s="200">
        <v>6.2942500000000008</v>
      </c>
      <c r="L19" s="200">
        <v>73.997159999999994</v>
      </c>
      <c r="M19" s="200">
        <v>9903.2411700000011</v>
      </c>
    </row>
    <row r="20" spans="2:13" hidden="1">
      <c r="B20" s="195"/>
      <c r="C20" s="187">
        <v>0</v>
      </c>
      <c r="D20" s="198">
        <v>0</v>
      </c>
      <c r="E20" s="198">
        <v>0</v>
      </c>
      <c r="F20" s="198">
        <v>4131.4699899999987</v>
      </c>
      <c r="G20" s="198">
        <v>0</v>
      </c>
      <c r="H20" s="198">
        <v>0</v>
      </c>
      <c r="I20" s="198">
        <v>0.25</v>
      </c>
      <c r="J20" s="198">
        <v>0</v>
      </c>
      <c r="K20" s="198">
        <v>0</v>
      </c>
      <c r="L20" s="198">
        <v>0</v>
      </c>
      <c r="M20" s="198">
        <v>4131.7199899999987</v>
      </c>
    </row>
    <row r="21" spans="2:13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</row>
    <row r="22" spans="2:13" hidden="1">
      <c r="B22" s="195"/>
      <c r="C22" s="104">
        <v>0</v>
      </c>
      <c r="D22" s="198">
        <v>0</v>
      </c>
      <c r="E22" s="198">
        <v>0</v>
      </c>
      <c r="F22" s="198">
        <v>4240.4908600000008</v>
      </c>
      <c r="G22" s="198">
        <v>0</v>
      </c>
      <c r="H22" s="198">
        <v>0.25</v>
      </c>
      <c r="I22" s="198">
        <v>335.79633000000001</v>
      </c>
      <c r="J22" s="198">
        <v>0</v>
      </c>
      <c r="K22" s="198">
        <v>0</v>
      </c>
      <c r="L22" s="198">
        <v>60.910049999999998</v>
      </c>
      <c r="M22" s="198">
        <v>4637.4472400000013</v>
      </c>
    </row>
    <row r="23" spans="2:13" hidden="1">
      <c r="B23" s="195"/>
      <c r="C23" s="104">
        <v>0</v>
      </c>
      <c r="D23" s="198">
        <v>0</v>
      </c>
      <c r="E23" s="198">
        <v>0</v>
      </c>
      <c r="F23" s="198">
        <v>1034.8864600000002</v>
      </c>
      <c r="G23" s="198">
        <v>17.101990000000001</v>
      </c>
      <c r="H23" s="198">
        <v>5.6325500000000002</v>
      </c>
      <c r="I23" s="198">
        <v>23.946529999999999</v>
      </c>
      <c r="J23" s="198">
        <v>4.1590499999999997</v>
      </c>
      <c r="K23" s="198">
        <v>6.2942500000000008</v>
      </c>
      <c r="L23" s="198">
        <v>13.087109999999999</v>
      </c>
      <c r="M23" s="198">
        <v>1105.1079400000001</v>
      </c>
    </row>
    <row r="24" spans="2:13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28.966000000000001</v>
      </c>
      <c r="J24" s="198">
        <v>0</v>
      </c>
      <c r="K24" s="198">
        <v>0</v>
      </c>
      <c r="L24" s="198">
        <v>0</v>
      </c>
      <c r="M24" s="198">
        <v>28.966000000000001</v>
      </c>
    </row>
    <row r="25" spans="2:13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20.881450000000001</v>
      </c>
      <c r="L25" s="198">
        <v>0</v>
      </c>
      <c r="M25" s="198">
        <v>20.881450000000001</v>
      </c>
    </row>
    <row r="26" spans="2:13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5.3852000000000002</v>
      </c>
      <c r="G26" s="198">
        <v>83.11148</v>
      </c>
      <c r="H26" s="198">
        <v>2.8716399999999997</v>
      </c>
      <c r="I26" s="198">
        <v>0.98848000000000014</v>
      </c>
      <c r="J26" s="198">
        <v>9.4962</v>
      </c>
      <c r="K26" s="198">
        <v>14.749559999999999</v>
      </c>
      <c r="L26" s="198">
        <v>0</v>
      </c>
      <c r="M26" s="198">
        <v>116.60256</v>
      </c>
    </row>
    <row r="27" spans="2:13" ht="24.95" customHeight="1">
      <c r="B27" s="195"/>
      <c r="C27" s="202" t="str">
        <f>+IF(Índice!$D$2=1,"Despesa de capital","Capital expenditure")</f>
        <v>Capital expenditure</v>
      </c>
      <c r="D27" s="32">
        <v>0</v>
      </c>
      <c r="E27" s="32">
        <v>2.1715999999999998</v>
      </c>
      <c r="F27" s="32">
        <v>979.10203999999999</v>
      </c>
      <c r="G27" s="32">
        <v>3218.9043499999998</v>
      </c>
      <c r="H27" s="32">
        <v>111.52708</v>
      </c>
      <c r="I27" s="32">
        <v>149.02347999999998</v>
      </c>
      <c r="J27" s="32">
        <v>860.98706000000004</v>
      </c>
      <c r="K27" s="32">
        <v>3321.3756500000004</v>
      </c>
      <c r="L27" s="32">
        <v>0</v>
      </c>
      <c r="M27" s="32">
        <v>8643.0912600000011</v>
      </c>
    </row>
    <row r="28" spans="2:13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2.1715999999999998</v>
      </c>
      <c r="F28" s="198">
        <v>976.23510999999996</v>
      </c>
      <c r="G28" s="198">
        <v>783.95851000000005</v>
      </c>
      <c r="H28" s="198">
        <v>0</v>
      </c>
      <c r="I28" s="198">
        <v>149.02347999999998</v>
      </c>
      <c r="J28" s="198">
        <v>3.2766100000000002</v>
      </c>
      <c r="K28" s="198">
        <v>3321.3756500000004</v>
      </c>
      <c r="L28" s="198">
        <v>0</v>
      </c>
      <c r="M28" s="198">
        <v>5236.0409600000003</v>
      </c>
    </row>
    <row r="29" spans="2:13" ht="15" customHeight="1">
      <c r="C29" s="104" t="str">
        <f>+IF(Índice!$D$2=1,"Transferências capital","Capital transfers")</f>
        <v>Capital transfers</v>
      </c>
      <c r="D29" s="196">
        <v>0</v>
      </c>
      <c r="E29" s="196">
        <v>0</v>
      </c>
      <c r="F29" s="196">
        <v>2.86693</v>
      </c>
      <c r="G29" s="196">
        <v>2434.9458399999999</v>
      </c>
      <c r="H29" s="196">
        <v>111.52708</v>
      </c>
      <c r="I29" s="196">
        <v>0</v>
      </c>
      <c r="J29" s="196">
        <v>857.71045000000004</v>
      </c>
      <c r="K29" s="196">
        <v>0</v>
      </c>
      <c r="L29" s="196">
        <v>0</v>
      </c>
      <c r="M29" s="196">
        <v>3407.0502999999999</v>
      </c>
    </row>
    <row r="30" spans="2:13" ht="15" customHeight="1">
      <c r="C30" s="109" t="str">
        <f>IF(Índice!$D$2=1,"Administração Pública","Public Administration")</f>
        <v>Public Administration</v>
      </c>
      <c r="D30" s="200">
        <v>0</v>
      </c>
      <c r="E30" s="200">
        <v>0</v>
      </c>
      <c r="F30" s="200">
        <v>2.86693</v>
      </c>
      <c r="G30" s="200">
        <v>94.945840000000004</v>
      </c>
      <c r="H30" s="200">
        <v>111.52708</v>
      </c>
      <c r="I30" s="200">
        <v>0</v>
      </c>
      <c r="J30" s="200">
        <v>857.71045000000004</v>
      </c>
      <c r="K30" s="200">
        <v>0</v>
      </c>
      <c r="L30" s="200">
        <v>0</v>
      </c>
      <c r="M30" s="200">
        <v>1067.0503000000001</v>
      </c>
    </row>
    <row r="31" spans="2:13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857.71045000000004</v>
      </c>
      <c r="K31" s="198">
        <v>0</v>
      </c>
      <c r="L31" s="198">
        <v>0</v>
      </c>
      <c r="M31" s="198">
        <v>857.71045000000004</v>
      </c>
    </row>
    <row r="32" spans="2:13" ht="15" customHeight="1">
      <c r="C32" s="201" t="str">
        <f>IF(Índice!$D$2=1,"Administração Regional","Regional Administration")</f>
        <v>Regional Administration</v>
      </c>
      <c r="D32" s="198">
        <v>0</v>
      </c>
      <c r="E32" s="198">
        <v>0</v>
      </c>
      <c r="F32" s="198">
        <v>2.86693</v>
      </c>
      <c r="G32" s="198">
        <v>94.945840000000004</v>
      </c>
      <c r="H32" s="198">
        <v>111.52708</v>
      </c>
      <c r="I32" s="198">
        <v>0</v>
      </c>
      <c r="J32" s="198">
        <v>0</v>
      </c>
      <c r="K32" s="198">
        <v>0</v>
      </c>
      <c r="L32" s="198">
        <v>0</v>
      </c>
      <c r="M32" s="198">
        <v>209.33985000000001</v>
      </c>
    </row>
    <row r="33" spans="1:168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</row>
    <row r="34" spans="1:168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</row>
    <row r="35" spans="1:168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0</v>
      </c>
      <c r="G35" s="200">
        <v>2340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2340</v>
      </c>
    </row>
    <row r="36" spans="1:168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1935</v>
      </c>
      <c r="E38" s="204">
        <v>319.73591999999996</v>
      </c>
      <c r="F38" s="204">
        <v>63269.531980000022</v>
      </c>
      <c r="G38" s="204">
        <v>33236.534780000002</v>
      </c>
      <c r="H38" s="204">
        <v>52861.70233</v>
      </c>
      <c r="I38" s="204">
        <v>3600.6003499999993</v>
      </c>
      <c r="J38" s="204">
        <v>6506.5474700000004</v>
      </c>
      <c r="K38" s="204">
        <v>35364.060709999998</v>
      </c>
      <c r="L38" s="204">
        <v>1784.65796</v>
      </c>
      <c r="M38" s="204">
        <v>198878.37150000001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0</v>
      </c>
      <c r="K40" s="208">
        <v>608.14400000000001</v>
      </c>
      <c r="L40" s="208">
        <v>0</v>
      </c>
      <c r="M40" s="208">
        <v>608.14400000000001</v>
      </c>
    </row>
    <row r="41" spans="1:168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49952.632819999999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49952.632819999999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21699.26311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4" t="str">
        <f>+IF(Índice!$D$2=1,"Fonte: Secretaria Regional das Finanças","Source: Regional Finance Secretariat")</f>
        <v>Source: Regional Finance Secretariat</v>
      </c>
      <c r="D46" s="334" t="str">
        <f>+IF(Índice!$D$2="PT","Fonte: Vice-Presidência do Governo Regional","Source: Vice-Presidency of the Regional Government")</f>
        <v>Source: Vice-Presidency of the Regional Government</v>
      </c>
      <c r="E46" s="334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O8" sqref="O8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(janeiro-fevereiro)","TABLE IX - RPEs global balance (january-february)")</f>
        <v>TABLE IX - RPEs global balance (january-february)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27868.83178</v>
      </c>
      <c r="E5" s="82">
        <v>5023.4623599999613</v>
      </c>
    </row>
    <row r="6" spans="2:7">
      <c r="B6" s="29"/>
      <c r="C6" s="103"/>
      <c r="D6" s="103"/>
      <c r="E6" s="103"/>
    </row>
    <row r="7" spans="2:7">
      <c r="B7" s="29"/>
      <c r="C7" s="334" t="str">
        <f>+IF(Índice!$D$2=1,"Fonte: Secretaria Regional das Finanças","Source: Regional Finance Secretariat")</f>
        <v>Source: Regional Finance Secretariat</v>
      </c>
      <c r="D7" s="334" t="str">
        <f>+IF(Índice!$D$2="PT","Fonte: Vice-Presidência do Governo Regional","Source: Vice-Presidency of the Regional Government")</f>
        <v>Source: Vice-Presidency of the Regional Government</v>
      </c>
      <c r="E7" s="33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O8" sqref="O8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5" t="str">
        <f>+IF(Índice!$D$2=1,"QUADRO X - Execução orçamental dos Serviços e Fundos Autónomos e EPR (janeiro-fevereiro)","TABLE X - ASFs and RPEs budget execution (january-february)")</f>
        <v>TABLE X - ASFs and RPEs budget execution (january-february)</v>
      </c>
      <c r="D2" s="336"/>
      <c r="E2" s="336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6916.6433600000164</v>
      </c>
      <c r="E4" s="98">
        <v>5023.4623599999613</v>
      </c>
      <c r="F4" s="98">
        <v>11940.105719999978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65858.976999999984</v>
      </c>
      <c r="E7" s="74">
        <v>71844.638440000039</v>
      </c>
      <c r="F7" s="74">
        <v>137703.61544000002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6916.7588200000164</v>
      </c>
      <c r="E8" s="74">
        <v>5024.3811299999616</v>
      </c>
      <c r="F8" s="74">
        <v>11941.139949999977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6678.862690000009</v>
      </c>
      <c r="E9" s="74">
        <v>351.00978999996005</v>
      </c>
      <c r="F9" s="74">
        <v>7029.8724799999618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237.78066999999999</v>
      </c>
      <c r="E10" s="74">
        <v>4672.4525699999976</v>
      </c>
      <c r="F10" s="74">
        <v>4910.2332399999977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4" t="str">
        <f>+IF(Índice!$D$2=1,"Fonte: Secretaria Regional das Finanças","Source: Regional Finance Secretariat")</f>
        <v>Source: Regional Finance Secretariat</v>
      </c>
      <c r="D12" s="334" t="str">
        <f>+IF(Índice!$D$2="PT","Fonte: Vice-Presidência do Governo Regional","Source: Vice-Presidency of the Regional Government")</f>
        <v>Source: Vice-Presidency of the Regional Government</v>
      </c>
      <c r="E12" s="33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O8" sqref="O8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(janeiro-fevereiro)","TABLE XI - ASFs and RPEs budget execution (january-february)")</f>
        <v>TABLE XI - ASFs and RPEs budget execution (january-february)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72516.701589999997</v>
      </c>
      <c r="E4" s="108">
        <v>62947.595979999998</v>
      </c>
      <c r="F4" s="108">
        <v>135464.29757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1671.3738500000002</v>
      </c>
      <c r="E8" s="74">
        <v>2368.2180499999999</v>
      </c>
      <c r="F8" s="74">
        <v>4039.5919000000004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69930.514589999992</v>
      </c>
      <c r="E9" s="74">
        <v>55791.553629999995</v>
      </c>
      <c r="F9" s="74">
        <v>125722.06821999999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8608.0757999999987</v>
      </c>
      <c r="E10" s="74">
        <v>179.01719</v>
      </c>
      <c r="F10" s="74">
        <v>8787.0929899999992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61142.575259999991</v>
      </c>
      <c r="E11" s="74">
        <v>55612.536439999996</v>
      </c>
      <c r="F11" s="74">
        <v>116755.11169999998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710.91849999999999</v>
      </c>
      <c r="E12" s="74">
        <v>1989.35103</v>
      </c>
      <c r="F12" s="74">
        <v>2700.26953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203.89465000000001</v>
      </c>
      <c r="E13" s="74">
        <v>2798.4732700000004</v>
      </c>
      <c r="F13" s="74">
        <v>3002.3679200000006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259.03422999999998</v>
      </c>
      <c r="E14" s="83">
        <v>13921.423589999999</v>
      </c>
      <c r="F14" s="83">
        <v>14180.457819999998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523.5</v>
      </c>
      <c r="F15" s="34">
        <v>523.5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219.11147</v>
      </c>
      <c r="E16" s="34">
        <v>13382.13249</v>
      </c>
      <c r="F16" s="74">
        <v>13601.24396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16.2987</v>
      </c>
      <c r="E17" s="34">
        <v>8372.8007400000006</v>
      </c>
      <c r="F17" s="74">
        <v>8389.09944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202.81277</v>
      </c>
      <c r="E18" s="74">
        <v>5009.3317499999994</v>
      </c>
      <c r="F18" s="74">
        <v>5212.1445199999998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14.741100000000001</v>
      </c>
      <c r="F19" s="74">
        <v>14.741100000000001</v>
      </c>
    </row>
    <row r="20" spans="2:6" ht="11.25" customHeight="1">
      <c r="C20" s="110" t="str">
        <f>+IF(Índice!$D$2=1,"Receita efetiva","Effective revenue")</f>
        <v>Effective revenue</v>
      </c>
      <c r="D20" s="83">
        <v>72775.735820000002</v>
      </c>
      <c r="E20" s="83">
        <v>76869.019570000004</v>
      </c>
      <c r="F20" s="83">
        <v>149644.75539000001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65837.838899999988</v>
      </c>
      <c r="E22" s="83">
        <v>62596.586190000038</v>
      </c>
      <c r="F22" s="83">
        <v>128434.42509000003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8295.0924300000042</v>
      </c>
      <c r="E23" s="74">
        <v>40935.966160000025</v>
      </c>
      <c r="F23" s="74">
        <v>49231.05859000003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1011.7624299999999</v>
      </c>
      <c r="E24" s="74">
        <v>18994.052760000013</v>
      </c>
      <c r="F24" s="74">
        <v>20005.815190000012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0.11546000000000001</v>
      </c>
      <c r="E25" s="74">
        <v>0.91877000000000009</v>
      </c>
      <c r="F25" s="74">
        <v>1.03423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54913.545339999982</v>
      </c>
      <c r="E26" s="74">
        <v>2427.8811500000002</v>
      </c>
      <c r="F26" s="74">
        <v>57341.426489999983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391.44342</v>
      </c>
      <c r="E27" s="74">
        <v>0</v>
      </c>
      <c r="F27" s="59">
        <v>391.44342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54522.101919999979</v>
      </c>
      <c r="E28" s="74">
        <v>2427.8811500000002</v>
      </c>
      <c r="F28" s="59">
        <v>56949.98306999998</v>
      </c>
    </row>
    <row r="29" spans="2:6" ht="11.25" customHeight="1">
      <c r="C29" s="104" t="str">
        <f>+IF(Índice!$D$2=1,"Subsídios","Subsidies")</f>
        <v>Subsidies</v>
      </c>
      <c r="D29" s="74">
        <v>1602.3129199999998</v>
      </c>
      <c r="E29" s="74">
        <v>0</v>
      </c>
      <c r="F29" s="74">
        <v>1602.3129199999998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15.01032</v>
      </c>
      <c r="E30" s="74">
        <v>237.76734999999999</v>
      </c>
      <c r="F30" s="74">
        <v>252.77767</v>
      </c>
    </row>
    <row r="31" spans="2:6" ht="11.25" customHeight="1">
      <c r="C31" s="110" t="str">
        <f>+IF(Índice!$D$2=1,"Despesa de capital","Capital expenditure")</f>
        <v>Capital expenditure</v>
      </c>
      <c r="D31" s="83">
        <v>21.25356</v>
      </c>
      <c r="E31" s="83">
        <v>9248.9710200000009</v>
      </c>
      <c r="F31" s="83">
        <v>9270.2245800000001</v>
      </c>
    </row>
    <row r="32" spans="2:6" ht="11.25" customHeight="1">
      <c r="C32" s="104" t="str">
        <f>+IF(Índice!$D$2=1,"Investimento","Investment")</f>
        <v>Investment</v>
      </c>
      <c r="D32" s="74">
        <v>21.25356</v>
      </c>
      <c r="E32" s="74">
        <v>9000.0440400000007</v>
      </c>
      <c r="F32" s="74">
        <v>9021.2975999999999</v>
      </c>
    </row>
    <row r="33" spans="3:6" ht="11.25" customHeight="1">
      <c r="C33" s="104" t="str">
        <f>+IF(Índice!$D$2=1,"Transferências capital","Capital transfers")</f>
        <v>Capital transfers</v>
      </c>
      <c r="D33" s="74">
        <v>0</v>
      </c>
      <c r="E33" s="74">
        <v>248.92698000000001</v>
      </c>
      <c r="F33" s="74">
        <v>248.92698000000001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65859.092459999985</v>
      </c>
      <c r="E36" s="83">
        <v>71845.557210000043</v>
      </c>
      <c r="F36" s="83">
        <v>137704.64967000001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1166.79332</v>
      </c>
      <c r="E38" s="35">
        <v>177.06702999999999</v>
      </c>
      <c r="F38" s="35">
        <v>1343.8603499999999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0</v>
      </c>
      <c r="F39" s="35">
        <v>0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6916.6433600000164</v>
      </c>
      <c r="E44" s="114">
        <v>5023.4623599999613</v>
      </c>
      <c r="F44" s="114">
        <v>11940.105719999978</v>
      </c>
    </row>
    <row r="45" spans="3:6" ht="15" customHeight="1">
      <c r="C45" s="334" t="str">
        <f>+IF(Índice!$D$2=1,"Fonte: Secretaria Regional das Finanças","Source: Regional Finance Secretariat")</f>
        <v>Source: Regional Finance Secretariat</v>
      </c>
      <c r="D45" s="334" t="str">
        <f>+IF(Índice!$D$2="PT","Fonte: Vice-Presidência do Governo Regional","Source: Vice-Presidency of the Regional Government")</f>
        <v>Source: Vice-Presidency of the Regional Government</v>
      </c>
      <c r="E45" s="33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O8" sqref="O8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(fevereiro)","TABLE XII - ASFs and RPEs budget execution (february)")</f>
        <v>TABLE XII - ASFs and RPEs budget execution (february)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+IF(Índice!$D$2=1,"fevereiro 2025","february 2025")</f>
        <v>february 2025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34212.551239999979</v>
      </c>
      <c r="E5" s="317">
        <v>27067.70503999999</v>
      </c>
      <c r="F5" s="317">
        <v>61280.256279999972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34212.551239999979</v>
      </c>
      <c r="E9" s="74">
        <v>27067.70503999999</v>
      </c>
      <c r="F9" s="74">
        <v>61280.256279999972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32356.597749999979</v>
      </c>
      <c r="E10" s="74">
        <v>23174.513759999991</v>
      </c>
      <c r="F10" s="74">
        <v>55531.111509999973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212.63056</v>
      </c>
      <c r="E11" s="83">
        <v>9213.7099299999991</v>
      </c>
      <c r="F11" s="83">
        <v>9426.3404899999987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523.5</v>
      </c>
      <c r="F12" s="34">
        <v>523.5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202.81277</v>
      </c>
      <c r="E13" s="34">
        <v>8674.4188300000005</v>
      </c>
      <c r="F13" s="74">
        <v>8877.231600000001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34425.181799999977</v>
      </c>
      <c r="E15" s="83">
        <v>36281.414969999991</v>
      </c>
      <c r="F15" s="83">
        <v>70706.596769999975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31887.209379999978</v>
      </c>
      <c r="E17" s="83">
        <v>33024.610170000029</v>
      </c>
      <c r="F17" s="83">
        <v>64911.819550000007</v>
      </c>
    </row>
    <row r="18" spans="3:6" ht="11.25" customHeight="1">
      <c r="C18" s="104" t="str">
        <f>+IF(Índice!$D$2=1,"Consumo público","Public consumption")</f>
        <v>Public consumption</v>
      </c>
      <c r="D18" s="74">
        <v>5308.2138800000012</v>
      </c>
      <c r="E18" s="74">
        <v>31687.574000000026</v>
      </c>
      <c r="F18" s="74">
        <v>36995.787880000025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4462.271810000002</v>
      </c>
      <c r="E19" s="74">
        <v>24123.771220000021</v>
      </c>
      <c r="F19" s="74">
        <v>28586.043030000023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845.94206999999983</v>
      </c>
      <c r="E20" s="74">
        <v>7563.8027800000073</v>
      </c>
      <c r="F20" s="74">
        <v>8409.7448500000064</v>
      </c>
    </row>
    <row r="21" spans="3:6" ht="11.25" customHeight="1">
      <c r="C21" s="104" t="str">
        <f>+IF(Índice!$D$2=1,"Subsídios","Subsidies")</f>
        <v>Subsidies</v>
      </c>
      <c r="D21" s="74">
        <v>1379.03172</v>
      </c>
      <c r="E21" s="74">
        <v>0</v>
      </c>
      <c r="F21" s="74">
        <v>1379.03172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7.868E-2</v>
      </c>
      <c r="E22" s="74">
        <v>0.60840000000000005</v>
      </c>
      <c r="F22" s="59">
        <v>0.68708000000000002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25199.885099999978</v>
      </c>
      <c r="E23" s="74">
        <v>1336.4277700000002</v>
      </c>
      <c r="F23" s="59">
        <v>26536.31286999998</v>
      </c>
    </row>
    <row r="24" spans="3:6" ht="11.25" customHeight="1">
      <c r="C24" s="110" t="str">
        <f>+IF(Índice!$D$2=1,"Despesa de capital","Capital expenditure")</f>
        <v>Capital expenditure</v>
      </c>
      <c r="D24" s="83">
        <v>19.64772</v>
      </c>
      <c r="E24" s="83">
        <v>9110.3543800000007</v>
      </c>
      <c r="F24" s="83">
        <v>9130.0021000000015</v>
      </c>
    </row>
    <row r="25" spans="3:6" ht="11.25" customHeight="1">
      <c r="C25" s="104" t="str">
        <f>+IF(Índice!$D$2=1,"Investimento","Investment")</f>
        <v>Investment</v>
      </c>
      <c r="D25" s="74">
        <v>19.64772</v>
      </c>
      <c r="E25" s="74">
        <v>8912.4274000000005</v>
      </c>
      <c r="F25" s="74">
        <v>8932.0751200000013</v>
      </c>
    </row>
    <row r="26" spans="3:6" ht="11.25" customHeight="1">
      <c r="C26" s="104" t="str">
        <f>+IF(Índice!$D$2=1,"Transferências capital","Capital transfers")</f>
        <v>Capital transfers</v>
      </c>
      <c r="D26" s="74">
        <v>0</v>
      </c>
      <c r="E26" s="74">
        <v>197.92698000000001</v>
      </c>
      <c r="F26" s="74">
        <v>197.92698000000001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31906.857099999979</v>
      </c>
      <c r="E29" s="83">
        <v>42134.964550000033</v>
      </c>
      <c r="F29" s="83">
        <v>74041.821650000013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2518.3246999999974</v>
      </c>
      <c r="E31" s="319">
        <v>-5853.5495800000426</v>
      </c>
      <c r="F31" s="319">
        <v>-3335.2248800000452</v>
      </c>
    </row>
    <row r="32" spans="3:6" ht="15" customHeight="1">
      <c r="C32" s="334" t="str">
        <f>+IF(Índice!$D$2=1,"Fonte: Secretaria Regional das Finanças","Source: Regional Finance Secretariat")</f>
        <v>Source: Regional Finance Secretariat</v>
      </c>
      <c r="D32" s="334"/>
      <c r="E32" s="334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O8" sqref="O8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fevereiro de 2025 (valores acumulados)","Table XIII- Accounts payable of the Regional Administration, february (accumulated)")</f>
        <v>Table XIII- Accounts payable of the Regional Administration, february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7" t="s">
        <v>7</v>
      </c>
      <c r="D3" s="338" t="str">
        <f>+IF(Índice!$D$2=1,"fevereiro 2025","february 2025")</f>
        <v>february 2025</v>
      </c>
      <c r="E3" s="338" t="str">
        <f>+IF(Índice!$D$2="PT","janeiro 2020","January")</f>
        <v>January</v>
      </c>
      <c r="F3" s="338" t="str">
        <f>+IF(Índice!$D$2="PT","janeiro 2020","January")</f>
        <v>January</v>
      </c>
      <c r="G3" s="339" t="str">
        <f>+IF(Índice!$D$2=1,"Variação face ao stock inicial de janeiro","Change from period initial stock")</f>
        <v>Change from period initial stock</v>
      </c>
      <c r="H3" s="340"/>
      <c r="I3" s="340"/>
    </row>
    <row r="4" spans="2:11" ht="12.75" customHeight="1">
      <c r="C4" s="337"/>
      <c r="D4" s="341" t="str">
        <f>+IF(Índice!$D$2=1,"Stock final do período","Accumulated")</f>
        <v>Accumulated</v>
      </c>
      <c r="E4" s="341"/>
      <c r="F4" s="341"/>
      <c r="G4" s="342" t="str">
        <f>+IF(Índice!$D$2=1,"Passivo","Liabilities")</f>
        <v>Liabilities</v>
      </c>
      <c r="H4" s="342" t="str">
        <f>+IF(Índice!$D$2=1,"Contas a pagar","Accounts payable")</f>
        <v>Accounts payable</v>
      </c>
      <c r="I4" s="344" t="str">
        <f>+IF(Índice!$D$2=1,"Pagamentos em atraso","Late payments")</f>
        <v>Late payments</v>
      </c>
    </row>
    <row r="5" spans="2:11" ht="22.5">
      <c r="B5" s="29"/>
      <c r="C5" s="337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3"/>
      <c r="H5" s="343"/>
      <c r="I5" s="345"/>
    </row>
    <row r="6" spans="2:11">
      <c r="B6" s="29"/>
      <c r="C6" s="119" t="str">
        <f>+IF(Índice!$D$2=1,"Despesa corrente","Current expenditure")</f>
        <v>Current expenditure</v>
      </c>
      <c r="D6" s="162">
        <v>132051008.48000002</v>
      </c>
      <c r="E6" s="162">
        <v>119743448.66</v>
      </c>
      <c r="F6" s="162">
        <v>54702478.670000002</v>
      </c>
      <c r="G6" s="91">
        <v>0.25235949073238895</v>
      </c>
      <c r="H6" s="91">
        <v>0.25210953307333628</v>
      </c>
      <c r="I6" s="116">
        <v>0.32743376709034111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8154755.9900000002</v>
      </c>
      <c r="E7" s="165">
        <v>7623680.7600000007</v>
      </c>
      <c r="F7" s="165">
        <v>537.24</v>
      </c>
      <c r="G7" s="95">
        <v>4.8313662508350248</v>
      </c>
      <c r="H7" s="95">
        <v>8.1647937018208339</v>
      </c>
      <c r="I7" s="121">
        <v>-7.3068893528183576E-2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98536694.030000001</v>
      </c>
      <c r="E8" s="165">
        <v>98276180.430000007</v>
      </c>
      <c r="F8" s="165">
        <v>53040016.25</v>
      </c>
      <c r="G8" s="95">
        <v>9.6881134802493385E-2</v>
      </c>
      <c r="H8" s="95">
        <v>9.5766278945246253E-2</v>
      </c>
      <c r="I8" s="121">
        <v>0.33802540311790708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12532066.41</v>
      </c>
      <c r="E9" s="165">
        <v>7252792.6500000004</v>
      </c>
      <c r="F9" s="165">
        <v>1495934.5099999998</v>
      </c>
      <c r="G9" s="95">
        <v>0.40858727983436371</v>
      </c>
      <c r="H9" s="95">
        <v>1.0048560560930815</v>
      </c>
      <c r="I9" s="121">
        <v>7.2426746736089509E-3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12749733.93</v>
      </c>
      <c r="E10" s="165">
        <v>6520745.5199999996</v>
      </c>
      <c r="F10" s="165">
        <v>165939.67000000001</v>
      </c>
      <c r="G10" s="95">
        <v>1.7616060437556125</v>
      </c>
      <c r="H10" s="95">
        <v>7.0781873183118922</v>
      </c>
      <c r="I10" s="121">
        <v>1.0023439561708551</v>
      </c>
    </row>
    <row r="11" spans="2:11">
      <c r="B11" s="29"/>
      <c r="C11" s="120" t="str">
        <f>+IF(Índice!$D$2=1,"Subsídios","Subsidies")</f>
        <v>Subsidies</v>
      </c>
      <c r="D11" s="165">
        <v>7075.96</v>
      </c>
      <c r="E11" s="165">
        <v>7075.96</v>
      </c>
      <c r="F11" s="165">
        <v>0</v>
      </c>
      <c r="G11" s="95">
        <v>-0.98971032585834307</v>
      </c>
      <c r="H11" s="95">
        <v>-0.98971032585834307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70682.16</v>
      </c>
      <c r="E12" s="165">
        <v>62973.340000000004</v>
      </c>
      <c r="F12" s="165">
        <v>51</v>
      </c>
      <c r="G12" s="95">
        <v>7.3521305671783583</v>
      </c>
      <c r="H12" s="95">
        <v>32.943683532500017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38396670.260000005</v>
      </c>
      <c r="E13" s="163">
        <v>23406634.099999998</v>
      </c>
      <c r="F13" s="163">
        <v>238202.75</v>
      </c>
      <c r="G13" s="92">
        <v>-4.498714094001266E-2</v>
      </c>
      <c r="H13" s="92">
        <v>-7.4121613053794055E-2</v>
      </c>
      <c r="I13" s="117">
        <v>0.67674921921546471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19640267.760000002</v>
      </c>
      <c r="E14" s="165">
        <v>10629737.689999999</v>
      </c>
      <c r="F14" s="165">
        <v>238202.75</v>
      </c>
      <c r="G14" s="95">
        <v>-0.15179451323726856</v>
      </c>
      <c r="H14" s="95">
        <v>-0.25193555332896622</v>
      </c>
      <c r="I14" s="121">
        <v>0.67674921921546471</v>
      </c>
    </row>
    <row r="15" spans="2:11">
      <c r="B15" s="29"/>
      <c r="C15" s="120" t="str">
        <f>+IF(Índice!$D$2=1,"Transferências capital","Capital transfers")</f>
        <v>Capital transfers</v>
      </c>
      <c r="D15" s="165">
        <v>18756402.5</v>
      </c>
      <c r="E15" s="165">
        <v>12776896.41</v>
      </c>
      <c r="F15" s="165">
        <v>0</v>
      </c>
      <c r="G15" s="95">
        <v>0.10006200595524639</v>
      </c>
      <c r="H15" s="95">
        <v>0.15410696679243219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170447678.74000001</v>
      </c>
      <c r="E17" s="164">
        <v>143150082.75999999</v>
      </c>
      <c r="F17" s="164">
        <v>54940681.420000002</v>
      </c>
      <c r="G17" s="147">
        <v>0.17027798543571793</v>
      </c>
      <c r="H17" s="147">
        <v>0.18390166584578282</v>
      </c>
      <c r="I17" s="148">
        <v>0.32863384025279396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116291782.17000002</v>
      </c>
      <c r="E19" s="164">
        <v>89006670.129999995</v>
      </c>
      <c r="F19" s="164">
        <v>17844433.600000001</v>
      </c>
      <c r="G19" s="147">
        <v>0.31674843367018912</v>
      </c>
      <c r="H19" s="147">
        <v>0.3995523400927572</v>
      </c>
      <c r="I19" s="148">
        <v>2.0623181496749496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fevereiro de 2025 (valores acumulados)","Table XIV - Accounts payable of the Regional Gov., february (accumulated)")</f>
        <v>Table XIV - Accounts payable of the Regional Gov., february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7" t="str">
        <f>+IF(Índice!$D$2=1,"Governo Regional","Regional Government")</f>
        <v>Regional Government</v>
      </c>
      <c r="D24" s="338" t="str">
        <f>+IF(Índice!$D$2=1,"fevereiro 2025","february 2025")</f>
        <v>february 2025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39" t="str">
        <f>+IF(Índice!$D$2=1,"Variação face ao stock inicial de janeiro","Change from january initial stock")</f>
        <v>Change from january initial stock</v>
      </c>
      <c r="H24" s="340"/>
      <c r="I24" s="340"/>
    </row>
    <row r="25" spans="2:9" ht="22.5" customHeight="1">
      <c r="B25" s="29"/>
      <c r="C25" s="337"/>
      <c r="D25" s="341" t="str">
        <f>+IF(Índice!$D$2=1,"Stock final do período","Accumulated")</f>
        <v>Accumulated</v>
      </c>
      <c r="E25" s="341"/>
      <c r="F25" s="341"/>
      <c r="G25" s="342" t="str">
        <f>+IF(Índice!$D$2=1,"Passivo","Liabilities")</f>
        <v>Liabilities</v>
      </c>
      <c r="H25" s="342" t="str">
        <f>+IF(Índice!$D$2=1,"Contas a pagar","Accounts payable")</f>
        <v>Accounts payable</v>
      </c>
      <c r="I25" s="344" t="str">
        <f>+IF(Índice!$D$2=1,"Pagamentos em atraso","Late payments")</f>
        <v>Late payments</v>
      </c>
    </row>
    <row r="26" spans="2:9" ht="22.5">
      <c r="B26" s="29"/>
      <c r="C26" s="337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3"/>
      <c r="H26" s="343"/>
      <c r="I26" s="345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21151233.409999996</v>
      </c>
      <c r="E27" s="162">
        <v>14547305.380000001</v>
      </c>
      <c r="F27" s="162">
        <v>1131856.24</v>
      </c>
      <c r="G27" s="91">
        <v>1.8924726732622159</v>
      </c>
      <c r="H27" s="91">
        <v>3.431558140054598</v>
      </c>
      <c r="I27" s="116">
        <v>7.9960529489844445E-2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26792537.880000003</v>
      </c>
      <c r="E28" s="163">
        <v>20519636.719999999</v>
      </c>
      <c r="F28" s="163">
        <v>630</v>
      </c>
      <c r="G28" s="92">
        <v>-1.0449922131890887E-2</v>
      </c>
      <c r="H28" s="172">
        <v>-1.6678400460017118E-2</v>
      </c>
      <c r="I28" s="117">
        <v>0</v>
      </c>
    </row>
    <row r="29" spans="2:9" ht="20.100000000000001" customHeight="1">
      <c r="B29" s="29"/>
      <c r="C29" s="146" t="s">
        <v>7</v>
      </c>
      <c r="D29" s="164">
        <v>47943771.289999999</v>
      </c>
      <c r="E29" s="164">
        <v>35066942.100000001</v>
      </c>
      <c r="F29" s="164">
        <v>1132486.24</v>
      </c>
      <c r="G29" s="147">
        <v>0.39420128713850278</v>
      </c>
      <c r="H29" s="147">
        <v>0.45202698759777604</v>
      </c>
      <c r="I29" s="148">
        <v>7.9912492936142332E-2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fevereiro de 2025 (valores acumulados)","Table XV - Accounts payable of the ASFs, february (accumulated)")</f>
        <v>Table XV - Accounts payable of the ASFs, february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6" t="str">
        <f>+IF(Índice!$D$2=1,"Serviços e Fundos Autónomos","Autonomous Services and Funds")</f>
        <v>Autonomous Services and Funds</v>
      </c>
      <c r="D33" s="338" t="str">
        <f>+IF(Índice!$D$2=1,"fevereiro 2025","february 2025")</f>
        <v>february 2025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39" t="str">
        <f>+IF(Índice!$D$2=1,"Variação face ao stock inicial de janeiro","Change from january initial stock")</f>
        <v>Change from january initial stock</v>
      </c>
      <c r="H33" s="340"/>
      <c r="I33" s="340"/>
    </row>
    <row r="34" spans="2:9" ht="12.75" customHeight="1">
      <c r="C34" s="347"/>
      <c r="D34" s="349" t="str">
        <f>+IF(Índice!$D$2=1,"Stock final do período","Accumulated")</f>
        <v>Accumulated</v>
      </c>
      <c r="E34" s="350"/>
      <c r="F34" s="351"/>
      <c r="G34" s="352" t="str">
        <f>+IF(Índice!$D$2=1,"Passivo","Liabilities")</f>
        <v>Liabilities</v>
      </c>
      <c r="H34" s="352" t="str">
        <f>+IF(Índice!$D$2=1,"Contas a pagar","Accounts payable")</f>
        <v>Accounts payable</v>
      </c>
      <c r="I34" s="344" t="str">
        <f>+IF(Índice!$D$2=1,"Pagamentos em atraso","Late payments")</f>
        <v>Late payments</v>
      </c>
    </row>
    <row r="35" spans="2:9" ht="22.5">
      <c r="C35" s="348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3"/>
      <c r="H35" s="343"/>
      <c r="I35" s="345"/>
    </row>
    <row r="36" spans="2:9" ht="20.100000000000001" customHeight="1">
      <c r="C36" s="115" t="str">
        <f>+IF(Índice!$D$2=1,"Despesa corrente","Current expenditure")</f>
        <v>Current expenditure</v>
      </c>
      <c r="D36" s="162">
        <v>53446725.860000007</v>
      </c>
      <c r="E36" s="162">
        <v>52041974.240000002</v>
      </c>
      <c r="F36" s="162">
        <v>16711947.359999999</v>
      </c>
      <c r="G36" s="91">
        <v>0.36494043362193107</v>
      </c>
      <c r="H36" s="91">
        <v>0.38226087769337669</v>
      </c>
      <c r="I36" s="116">
        <v>2.497381896283005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532238.30000000005</v>
      </c>
      <c r="E37" s="163">
        <v>532238.30000000005</v>
      </c>
      <c r="F37" s="163">
        <v>0</v>
      </c>
      <c r="G37" s="92">
        <v>2.5985990138168282</v>
      </c>
      <c r="H37" s="92">
        <v>2.5985990138168282</v>
      </c>
      <c r="I37" s="117">
        <v>0</v>
      </c>
    </row>
    <row r="38" spans="2:9" ht="20.100000000000001" customHeight="1">
      <c r="C38" s="146" t="s">
        <v>7</v>
      </c>
      <c r="D38" s="164">
        <v>53978964.160000004</v>
      </c>
      <c r="E38" s="164">
        <v>52574212.539999999</v>
      </c>
      <c r="F38" s="164">
        <v>16711947.359999999</v>
      </c>
      <c r="G38" s="147">
        <v>0.37334556956663145</v>
      </c>
      <c r="H38" s="147">
        <v>0.39093333609469316</v>
      </c>
      <c r="I38" s="148">
        <v>2.497381896283005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fevereiro de 2025 (valores acumulados)","Table XVI - Accounts payable of the RPEs, february (accumulated)")</f>
        <v>Table XVI - Accounts payable of the RPEs, february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6" t="str">
        <f>+IF(Índice!$D$2=1,"Entidades Públicas Reclassseicadas","Reclassseied Public Entities")</f>
        <v>Reclassseied Public Entities</v>
      </c>
      <c r="D42" s="338" t="str">
        <f>+IF(Índice!$D$2=1,"fevereiro 2025","february 2025")</f>
        <v>february 2025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39" t="str">
        <f>+IF(Índice!$D$2=1,"Variação face ao stock inicial de janeiro","Change from january initial stock")</f>
        <v>Change from january initial stock</v>
      </c>
      <c r="H42" s="340"/>
      <c r="I42" s="340"/>
    </row>
    <row r="43" spans="2:9" ht="12.75" customHeight="1">
      <c r="C43" s="347"/>
      <c r="D43" s="349" t="str">
        <f>+IF(Índice!$D$2=1,"Stock final do período","Accumulated")</f>
        <v>Accumulated</v>
      </c>
      <c r="E43" s="350"/>
      <c r="F43" s="351"/>
      <c r="G43" s="342" t="str">
        <f>+IF(Índice!$D$2=1,"Passivo","Liabilities")</f>
        <v>Liabilities</v>
      </c>
      <c r="H43" s="342" t="str">
        <f>+IF(Índice!$D$2=1,"Contas a pagar","Accounts payable")</f>
        <v>Accounts payable</v>
      </c>
      <c r="I43" s="344" t="str">
        <f>+IF(Índice!$D$2=1,"Pagamentos em atraso","Late payments")</f>
        <v>Late payments</v>
      </c>
    </row>
    <row r="44" spans="2:9" ht="22.5">
      <c r="C44" s="348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3"/>
      <c r="H44" s="343"/>
      <c r="I44" s="345"/>
    </row>
    <row r="45" spans="2:9" ht="20.100000000000001" customHeight="1">
      <c r="C45" s="115" t="str">
        <f>+IF(Índice!$D$2=1,"Despesa corrente","Current expenditure")</f>
        <v>Current expenditure</v>
      </c>
      <c r="D45" s="162">
        <v>57453049.210000001</v>
      </c>
      <c r="E45" s="162">
        <v>53154169.039999999</v>
      </c>
      <c r="F45" s="162">
        <v>36858675.07</v>
      </c>
      <c r="G45" s="91">
        <v>-2.576453827562597E-2</v>
      </c>
      <c r="H45" s="91">
        <v>-2.8274569854119136E-2</v>
      </c>
      <c r="I45" s="116">
        <v>4.1713818240821432E-2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11071894.08</v>
      </c>
      <c r="E46" s="163">
        <v>2354759.0799999996</v>
      </c>
      <c r="F46" s="163">
        <v>237572.75</v>
      </c>
      <c r="G46" s="92">
        <v>-0.14713626844670258</v>
      </c>
      <c r="H46" s="92">
        <v>-0.44787279343966013</v>
      </c>
      <c r="I46" s="117">
        <v>0.67976375117865606</v>
      </c>
    </row>
    <row r="47" spans="2:9" ht="20.100000000000001" customHeight="1">
      <c r="C47" s="146" t="s">
        <v>7</v>
      </c>
      <c r="D47" s="164">
        <v>68524943.290000007</v>
      </c>
      <c r="E47" s="164">
        <v>55508928.119999997</v>
      </c>
      <c r="F47" s="164">
        <v>37096247.82</v>
      </c>
      <c r="G47" s="147">
        <v>-4.7662417579309224E-2</v>
      </c>
      <c r="H47" s="147">
        <v>-5.8623371280375647E-2</v>
      </c>
      <c r="I47" s="148">
        <v>4.4254084768587276E-2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2"/>
  <sheetViews>
    <sheetView showGridLines="0" zoomScale="85" zoomScaleNormal="85" workbookViewId="0"/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63</v>
      </c>
      <c r="D10" s="170"/>
      <c r="E10" s="169"/>
    </row>
    <row r="11" spans="2:5">
      <c r="B11" s="195"/>
      <c r="C11" s="170" t="s">
        <v>77</v>
      </c>
      <c r="D11" s="170"/>
      <c r="E11" s="169"/>
    </row>
    <row r="12" spans="2:5">
      <c r="B12" s="195"/>
      <c r="C12" s="170" t="s">
        <v>64</v>
      </c>
      <c r="D12" s="170"/>
      <c r="E12" s="169"/>
    </row>
    <row r="13" spans="2:5">
      <c r="B13" s="195"/>
      <c r="C13" s="170" t="s">
        <v>65</v>
      </c>
      <c r="D13" s="170"/>
      <c r="E13" s="169"/>
    </row>
    <row r="14" spans="2:5">
      <c r="B14" s="195"/>
      <c r="C14" s="170" t="s">
        <v>66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53</v>
      </c>
      <c r="D16" s="170"/>
      <c r="E16" s="169"/>
    </row>
    <row r="17" spans="2:5">
      <c r="B17" s="195"/>
      <c r="C17" s="170" t="s">
        <v>67</v>
      </c>
      <c r="D17" s="171"/>
      <c r="E17" s="169"/>
    </row>
    <row r="18" spans="2:5">
      <c r="B18" s="195"/>
      <c r="C18" s="170" t="s">
        <v>85</v>
      </c>
      <c r="D18" s="170"/>
      <c r="E18" s="169"/>
    </row>
    <row r="19" spans="2:5">
      <c r="B19" s="195"/>
      <c r="C19" s="170" t="s">
        <v>82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86</v>
      </c>
      <c r="D21" s="170"/>
      <c r="E21" s="169"/>
    </row>
    <row r="22" spans="2:5">
      <c r="B22" s="195"/>
      <c r="C22" s="170" t="s">
        <v>54</v>
      </c>
      <c r="D22" s="170"/>
      <c r="E22" s="169"/>
    </row>
    <row r="23" spans="2:5">
      <c r="B23" s="195"/>
      <c r="C23" s="170" t="s">
        <v>68</v>
      </c>
      <c r="D23" s="170"/>
      <c r="E23" s="169"/>
    </row>
    <row r="24" spans="2:5">
      <c r="B24" s="195"/>
      <c r="C24" s="170" t="s">
        <v>69</v>
      </c>
      <c r="D24" s="170"/>
      <c r="E24" s="169"/>
    </row>
    <row r="25" spans="2:5">
      <c r="B25" s="195"/>
      <c r="C25" s="170" t="s">
        <v>87</v>
      </c>
      <c r="D25" s="170"/>
      <c r="E25" s="169"/>
    </row>
    <row r="26" spans="2:5">
      <c r="B26" s="195"/>
      <c r="C26" s="170" t="s">
        <v>70</v>
      </c>
      <c r="D26" s="170"/>
      <c r="E26" s="169"/>
    </row>
    <row r="27" spans="2:5">
      <c r="B27" s="195"/>
      <c r="C27" s="170" t="s">
        <v>71</v>
      </c>
      <c r="D27" s="170"/>
      <c r="E27" s="169"/>
    </row>
    <row r="28" spans="2:5">
      <c r="B28" s="195"/>
      <c r="C28" s="170" t="s">
        <v>55</v>
      </c>
      <c r="D28" s="170"/>
      <c r="E28" s="169"/>
    </row>
    <row r="29" spans="2:5">
      <c r="B29" s="55"/>
      <c r="C29" s="170" t="s">
        <v>83</v>
      </c>
      <c r="D29" s="170"/>
      <c r="E29" s="169"/>
    </row>
    <row r="30" spans="2:5">
      <c r="B30" s="55"/>
      <c r="C30" s="170" t="s">
        <v>56</v>
      </c>
      <c r="D30" s="170"/>
      <c r="E30" s="169"/>
    </row>
    <row r="31" spans="2:5">
      <c r="B31" s="55"/>
      <c r="C31" s="170" t="s">
        <v>72</v>
      </c>
      <c r="D31" s="170"/>
      <c r="E31" s="169"/>
    </row>
    <row r="32" spans="2:5">
      <c r="B32" s="55"/>
      <c r="C32" s="170" t="s">
        <v>97</v>
      </c>
      <c r="D32" s="170"/>
      <c r="E32" s="169"/>
    </row>
    <row r="33" spans="2:5">
      <c r="B33" s="55"/>
      <c r="C33" s="170" t="s">
        <v>73</v>
      </c>
      <c r="D33" s="170"/>
      <c r="E33" s="169"/>
    </row>
    <row r="34" spans="2:5">
      <c r="B34" s="55"/>
      <c r="C34" s="170" t="s">
        <v>57</v>
      </c>
      <c r="D34" s="170"/>
      <c r="E34" s="169"/>
    </row>
    <row r="35" spans="2:5">
      <c r="B35" s="55"/>
      <c r="C35" s="170" t="s">
        <v>74</v>
      </c>
      <c r="D35" s="170"/>
      <c r="E35" s="169"/>
    </row>
    <row r="36" spans="2:5">
      <c r="B36" s="55"/>
      <c r="C36" s="170" t="s">
        <v>58</v>
      </c>
      <c r="D36" s="170"/>
      <c r="E36" s="169"/>
    </row>
    <row r="37" spans="2:5">
      <c r="B37" s="55"/>
      <c r="C37" s="171" t="s">
        <v>23</v>
      </c>
      <c r="D37" s="170"/>
      <c r="E37" s="169"/>
    </row>
    <row r="38" spans="2:5">
      <c r="B38" s="55"/>
      <c r="C38" s="170" t="s">
        <v>59</v>
      </c>
      <c r="D38" s="170"/>
      <c r="E38" s="169"/>
    </row>
    <row r="39" spans="2:5">
      <c r="B39" s="55"/>
      <c r="C39" s="170" t="s">
        <v>60</v>
      </c>
      <c r="D39" s="170"/>
      <c r="E39" s="169"/>
    </row>
    <row r="40" spans="2:5">
      <c r="B40" s="55"/>
      <c r="C40" s="170" t="s">
        <v>49</v>
      </c>
      <c r="D40" s="170"/>
      <c r="E40" s="169"/>
    </row>
    <row r="41" spans="2:5">
      <c r="B41" s="55"/>
      <c r="C41" s="170" t="s">
        <v>24</v>
      </c>
      <c r="D41" s="170"/>
      <c r="E41" s="169"/>
    </row>
    <row r="42" spans="2:5">
      <c r="B42" s="55"/>
      <c r="C42" s="170" t="s">
        <v>61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26</v>
      </c>
      <c r="D44" s="170"/>
      <c r="E44" s="169"/>
    </row>
    <row r="45" spans="2:5">
      <c r="B45" s="55"/>
      <c r="C45" s="170" t="s">
        <v>50</v>
      </c>
      <c r="D45" s="171"/>
      <c r="E45" s="169"/>
    </row>
    <row r="46" spans="2:5">
      <c r="B46" s="55"/>
      <c r="C46" s="171" t="s">
        <v>27</v>
      </c>
      <c r="D46" s="170"/>
      <c r="E46" s="169"/>
    </row>
    <row r="47" spans="2:5">
      <c r="B47" s="55"/>
      <c r="C47" s="170" t="s">
        <v>92</v>
      </c>
      <c r="D47" s="170"/>
      <c r="E47" s="169"/>
    </row>
    <row r="48" spans="2:5">
      <c r="B48" s="55"/>
      <c r="C48" s="170" t="s">
        <v>84</v>
      </c>
      <c r="D48" s="170"/>
      <c r="E48" s="169"/>
    </row>
    <row r="49" spans="2:5">
      <c r="B49" s="55"/>
      <c r="C49" s="170" t="s">
        <v>28</v>
      </c>
      <c r="D49" s="170"/>
      <c r="E49" s="169"/>
    </row>
    <row r="50" spans="2:5">
      <c r="B50" s="55"/>
      <c r="C50" s="171" t="s">
        <v>89</v>
      </c>
      <c r="D50" s="171"/>
      <c r="E50" s="169"/>
    </row>
    <row r="51" spans="2:5">
      <c r="B51" s="55"/>
      <c r="C51" s="170" t="s">
        <v>29</v>
      </c>
      <c r="D51" s="170"/>
      <c r="E51" s="169"/>
    </row>
    <row r="52" spans="2:5">
      <c r="B52" s="55"/>
      <c r="C52" s="170" t="s">
        <v>75</v>
      </c>
      <c r="D52" s="170"/>
      <c r="E52" s="169"/>
    </row>
    <row r="53" spans="2:5">
      <c r="B53" s="55"/>
      <c r="C53" s="170" t="s">
        <v>30</v>
      </c>
      <c r="D53" s="170"/>
      <c r="E53" s="169"/>
    </row>
    <row r="54" spans="2:5">
      <c r="B54" s="55"/>
      <c r="C54" s="170" t="s">
        <v>31</v>
      </c>
      <c r="D54" s="171"/>
      <c r="E54" s="169"/>
    </row>
    <row r="55" spans="2:5">
      <c r="B55" s="55"/>
      <c r="C55" s="170" t="s">
        <v>22</v>
      </c>
    </row>
    <row r="56" spans="2:5">
      <c r="B56" s="55"/>
      <c r="C56" s="170" t="s">
        <v>88</v>
      </c>
    </row>
    <row r="57" spans="2:5">
      <c r="B57" s="55"/>
      <c r="C57" s="171" t="s">
        <v>90</v>
      </c>
    </row>
    <row r="58" spans="2:5">
      <c r="B58" s="55"/>
      <c r="C58" s="170" t="s">
        <v>93</v>
      </c>
    </row>
    <row r="59" spans="2:5">
      <c r="B59" s="55"/>
      <c r="C59" s="170" t="s">
        <v>94</v>
      </c>
    </row>
    <row r="60" spans="2:5">
      <c r="B60" s="55"/>
      <c r="C60" s="170" t="s">
        <v>52</v>
      </c>
    </row>
    <row r="61" spans="2:5">
      <c r="B61" s="55"/>
      <c r="C61" s="170" t="s">
        <v>51</v>
      </c>
    </row>
    <row r="62" spans="2:5">
      <c r="B62" s="55"/>
      <c r="C62" s="171" t="s">
        <v>98</v>
      </c>
    </row>
    <row r="63" spans="2:5">
      <c r="B63" s="55"/>
      <c r="C63" s="170" t="s">
        <v>33</v>
      </c>
    </row>
    <row r="64" spans="2:5">
      <c r="B64" s="55"/>
      <c r="C64" s="170" t="s">
        <v>76</v>
      </c>
    </row>
    <row r="65" spans="2:3">
      <c r="B65" s="55"/>
      <c r="C65" s="170" t="s">
        <v>34</v>
      </c>
    </row>
    <row r="66" spans="2:3">
      <c r="B66" s="55"/>
      <c r="C66" s="170" t="s">
        <v>35</v>
      </c>
    </row>
    <row r="67" spans="2:3">
      <c r="B67" s="55"/>
      <c r="C67" s="171" t="s">
        <v>36</v>
      </c>
    </row>
    <row r="68" spans="2:3">
      <c r="B68" s="55"/>
      <c r="C68" s="170" t="s">
        <v>91</v>
      </c>
    </row>
    <row r="69" spans="2:3">
      <c r="B69" s="55"/>
      <c r="C69" s="170" t="s">
        <v>78</v>
      </c>
    </row>
    <row r="70" spans="2:3">
      <c r="B70" s="55"/>
      <c r="C70" s="170" t="s">
        <v>32</v>
      </c>
    </row>
    <row r="71" spans="2:3">
      <c r="B71" s="55"/>
      <c r="C71" s="290" t="s">
        <v>21</v>
      </c>
    </row>
    <row r="72" spans="2:3">
      <c r="B72" s="55"/>
      <c r="C72" s="170"/>
    </row>
    <row r="73" spans="2:3" hidden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  <c r="C76" s="170"/>
    </row>
    <row r="77" spans="2:3" ht="13.5" hidden="1" customHeight="1">
      <c r="B77" s="55"/>
    </row>
    <row r="78" spans="2:3" ht="13.5" hidden="1" customHeight="1">
      <c r="B78" s="55"/>
      <c r="C78" s="170"/>
    </row>
    <row r="79" spans="2:3" hidden="1">
      <c r="B79" s="55"/>
      <c r="C79" s="170"/>
    </row>
    <row r="80" spans="2:3" hidden="1">
      <c r="B80" s="55"/>
      <c r="C80" s="322"/>
    </row>
    <row r="81" spans="2:3" hidden="1">
      <c r="B81" s="55"/>
      <c r="C81" s="322"/>
    </row>
    <row r="82" spans="2:3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289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96</v>
      </c>
    </row>
    <row r="89" spans="2:3">
      <c r="B89" s="55"/>
      <c r="C89" s="170" t="s">
        <v>37</v>
      </c>
    </row>
    <row r="90" spans="2:3">
      <c r="B90" s="55"/>
      <c r="C90" s="170" t="s">
        <v>38</v>
      </c>
    </row>
    <row r="91" spans="2:3">
      <c r="B91" s="55"/>
      <c r="C91" s="170" t="s">
        <v>81</v>
      </c>
    </row>
    <row r="92" spans="2:3">
      <c r="B92" s="55"/>
      <c r="C92" s="171" t="s">
        <v>23</v>
      </c>
    </row>
    <row r="93" spans="2:3">
      <c r="B93" s="55"/>
      <c r="C93" s="170" t="s">
        <v>39</v>
      </c>
    </row>
    <row r="94" spans="2:3">
      <c r="B94" s="55"/>
      <c r="C94" s="170" t="s">
        <v>41</v>
      </c>
    </row>
    <row r="95" spans="2:3">
      <c r="B95" s="55"/>
      <c r="C95" s="170" t="s">
        <v>42</v>
      </c>
    </row>
    <row r="96" spans="2:3">
      <c r="B96" s="55"/>
      <c r="C96" s="170" t="s">
        <v>62</v>
      </c>
    </row>
    <row r="97" spans="2:3">
      <c r="B97" s="55"/>
      <c r="C97" s="171" t="s">
        <v>27</v>
      </c>
    </row>
    <row r="98" spans="2:3">
      <c r="B98" s="55"/>
      <c r="C98" s="170" t="s">
        <v>43</v>
      </c>
    </row>
    <row r="99" spans="2:3">
      <c r="B99" s="55"/>
      <c r="C99" s="171" t="s">
        <v>90</v>
      </c>
    </row>
    <row r="100" spans="2:3">
      <c r="B100" s="55"/>
      <c r="C100" s="170" t="s">
        <v>79</v>
      </c>
    </row>
    <row r="101" spans="2:3">
      <c r="B101" s="55"/>
      <c r="C101" s="171" t="s">
        <v>95</v>
      </c>
    </row>
    <row r="102" spans="2:3">
      <c r="B102" s="55"/>
      <c r="C102" s="170" t="s">
        <v>80</v>
      </c>
    </row>
    <row r="103" spans="2:3">
      <c r="B103" s="55"/>
      <c r="C103" s="170" t="s">
        <v>33</v>
      </c>
    </row>
    <row r="104" spans="2:3">
      <c r="B104" s="55"/>
      <c r="C104" s="171" t="s">
        <v>40</v>
      </c>
    </row>
    <row r="105" spans="2:3">
      <c r="B105" s="55"/>
      <c r="C105" s="170" t="s">
        <v>45</v>
      </c>
    </row>
    <row r="106" spans="2:3">
      <c r="B106" s="55"/>
      <c r="C106" s="170" t="s">
        <v>46</v>
      </c>
    </row>
    <row r="107" spans="2:3">
      <c r="B107" s="55"/>
      <c r="C107" s="170" t="s">
        <v>47</v>
      </c>
    </row>
    <row r="108" spans="2:3">
      <c r="B108" s="55"/>
      <c r="C108" s="170" t="s">
        <v>48</v>
      </c>
    </row>
    <row r="109" spans="2:3">
      <c r="B109" s="55"/>
      <c r="C109" s="170" t="s">
        <v>99</v>
      </c>
    </row>
    <row r="110" spans="2:3">
      <c r="B110" s="55"/>
      <c r="C110" s="170" t="s">
        <v>91</v>
      </c>
    </row>
    <row r="111" spans="2:3">
      <c r="B111" s="55"/>
      <c r="C111" s="171" t="s">
        <v>44</v>
      </c>
    </row>
    <row r="112" spans="2:3">
      <c r="C112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9" sqref="D9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(january-february)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(january-february)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(february)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(january-february)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(january-february)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(january-february)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(january-february)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(january-february)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(january-february)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(january-february)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(january-february)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(february)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february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february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february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february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3"/>
      <c r="B22" s="323"/>
      <c r="C22" s="323"/>
      <c r="D22" s="323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O8" sqref="O8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(janeiro-fevereiro)","TABLE I - Consolidated budget execution (january-february)")</f>
        <v>TABLE I - Consolidated budget execution (january-february)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2025","Consolidated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217343.02557</v>
      </c>
      <c r="E5" s="57">
        <v>72516.701589999997</v>
      </c>
      <c r="F5" s="57">
        <v>62947.595979999998</v>
      </c>
      <c r="G5" s="57">
        <v>241195.61125999998</v>
      </c>
      <c r="H5" s="57">
        <v>-3.227485018330245</v>
      </c>
    </row>
    <row r="6" spans="1:10" ht="11.25" customHeight="1">
      <c r="C6" s="68" t="str">
        <f>+IF(Índice!$D$2=1,"Impostos diretos","Direct taxes")</f>
        <v>Direct taxes</v>
      </c>
      <c r="D6" s="56">
        <v>29860.143929999998</v>
      </c>
      <c r="E6" s="56">
        <v>0</v>
      </c>
      <c r="F6" s="56">
        <v>0</v>
      </c>
      <c r="G6" s="56">
        <v>29860.143929999998</v>
      </c>
      <c r="H6" s="56">
        <v>-23.378675184784047</v>
      </c>
    </row>
    <row r="7" spans="1:10">
      <c r="C7" s="68" t="str">
        <f>+IF(Índice!$D$2=1,"Impostos indiretos","Indirect taxes")</f>
        <v>Indirect taxes</v>
      </c>
      <c r="D7" s="56">
        <v>116832.99435000001</v>
      </c>
      <c r="E7" s="56">
        <v>0</v>
      </c>
      <c r="F7" s="56">
        <v>0</v>
      </c>
      <c r="G7" s="56">
        <v>116832.99435000001</v>
      </c>
      <c r="H7" s="56">
        <v>6.3201876677741131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70649.887289999999</v>
      </c>
      <c r="E9" s="56">
        <v>72516.701589999997</v>
      </c>
      <c r="F9" s="56">
        <v>62947.595979999998</v>
      </c>
      <c r="G9" s="56">
        <v>89377.063159999976</v>
      </c>
      <c r="H9" s="56">
        <v>21.559486721412281</v>
      </c>
    </row>
    <row r="10" spans="1:10">
      <c r="C10" s="69" t="str">
        <f>+IF(Índice!$D$2=1,"Transferências correntes","Current transfers")</f>
        <v>Current transfers</v>
      </c>
      <c r="D10" s="56">
        <v>62550.875059999998</v>
      </c>
      <c r="E10" s="56">
        <v>69930.514589999992</v>
      </c>
      <c r="F10" s="56">
        <v>55791.553629999995</v>
      </c>
      <c r="G10" s="56">
        <v>71535.821579999974</v>
      </c>
      <c r="H10" s="56">
        <v>33.296350149861496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62456.599000000002</v>
      </c>
      <c r="E11" s="56">
        <v>179.86353</v>
      </c>
      <c r="F11" s="56">
        <v>0</v>
      </c>
      <c r="G11" s="56">
        <v>62636.462530000004</v>
      </c>
      <c r="H11" s="56">
        <v>27.301656243899195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61142.575260000005</v>
      </c>
      <c r="F12" s="56">
        <v>55594.546439999998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5125.4098200000008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33142.096459999993</v>
      </c>
      <c r="E14" s="57">
        <v>259.03422999999998</v>
      </c>
      <c r="F14" s="57">
        <v>13921.423589999999</v>
      </c>
      <c r="G14" s="57">
        <v>47113.214429999985</v>
      </c>
      <c r="H14" s="57">
        <v>33.878400193538248</v>
      </c>
    </row>
    <row r="15" spans="1:10">
      <c r="C15" s="68" t="str">
        <f>+IF(Índice!$D$2=1,"Venda de bens de investimento","Sale of investment goods")</f>
        <v>Sale of investment goods</v>
      </c>
      <c r="D15" s="56">
        <v>19.8948</v>
      </c>
      <c r="E15" s="56">
        <v>0</v>
      </c>
      <c r="F15" s="56">
        <v>523.5</v>
      </c>
      <c r="G15" s="56">
        <v>543.39480000000003</v>
      </c>
      <c r="H15" s="56">
        <v>11.228312932410866</v>
      </c>
    </row>
    <row r="16" spans="1:10" ht="11.25" customHeight="1">
      <c r="C16" s="68" t="str">
        <f>+IF(Índice!$D$2=1,"Transferências capital","Capital transfers")</f>
        <v>Capital transfers</v>
      </c>
      <c r="D16" s="56">
        <v>31664.139669999997</v>
      </c>
      <c r="E16" s="56">
        <v>219.11147</v>
      </c>
      <c r="F16" s="56">
        <v>13382.13249</v>
      </c>
      <c r="G16" s="56">
        <v>40053.239109999995</v>
      </c>
      <c r="H16" s="56">
        <v>23.27188504916624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27271.15022</v>
      </c>
      <c r="E17" s="56">
        <v>0</v>
      </c>
      <c r="F17" s="56">
        <v>0</v>
      </c>
      <c r="G17" s="56">
        <v>27271.15022</v>
      </c>
      <c r="H17" s="56">
        <v>0.82528026452597381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202.81277</v>
      </c>
      <c r="F18" s="56">
        <v>5009.3317500000003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5002.8046699999995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250485.12203</v>
      </c>
      <c r="E20" s="57">
        <v>72775.735820000002</v>
      </c>
      <c r="F20" s="57">
        <v>76869.019570000004</v>
      </c>
      <c r="G20" s="57">
        <v>288308.82568999997</v>
      </c>
      <c r="H20" s="57">
        <v>1.3634203237067322</v>
      </c>
    </row>
    <row r="21" spans="3:8" ht="20.25" customHeight="1">
      <c r="C21" s="220" t="str">
        <f>+IF(Índice!$D$2=1,"Despesa corrente","Current expenditure")</f>
        <v>Current expenditure</v>
      </c>
      <c r="D21" s="220">
        <v>190235.28024000005</v>
      </c>
      <c r="E21" s="220">
        <v>65837.838899999988</v>
      </c>
      <c r="F21" s="220">
        <v>62596.586190000038</v>
      </c>
      <c r="G21" s="220">
        <v>207053.74118000007</v>
      </c>
      <c r="H21" s="220">
        <v>5.0469992345230752</v>
      </c>
    </row>
    <row r="22" spans="3:8" ht="10.5" customHeight="1">
      <c r="C22" s="68" t="str">
        <f>+IF(Índice!$D$2=1,"Consumo público","Public consumption")</f>
        <v>Public consumption</v>
      </c>
      <c r="D22" s="56">
        <v>100007.33545999999</v>
      </c>
      <c r="E22" s="56">
        <v>9321.8651800000043</v>
      </c>
      <c r="F22" s="56">
        <v>60167.786270000041</v>
      </c>
      <c r="G22" s="56">
        <v>169496.98691000004</v>
      </c>
      <c r="H22" s="56">
        <v>4.100546158367635</v>
      </c>
    </row>
    <row r="23" spans="3:8">
      <c r="C23" s="69" t="str">
        <f>+IF(Índice!$D$2=1,"Despesas com o pessoal","Compensation of employees")</f>
        <v>Compensation of employees</v>
      </c>
      <c r="D23" s="56">
        <v>62829.175060000001</v>
      </c>
      <c r="E23" s="56">
        <v>8295.0924300000042</v>
      </c>
      <c r="F23" s="56">
        <v>40935.966160000025</v>
      </c>
      <c r="G23" s="56">
        <v>112060.23365000004</v>
      </c>
      <c r="H23" s="56">
        <v>2.7541735232516684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37178.160399999986</v>
      </c>
      <c r="E24" s="56">
        <v>1026.7727499999999</v>
      </c>
      <c r="F24" s="56">
        <v>19231.820110000011</v>
      </c>
      <c r="G24" s="56">
        <v>57436.753259999998</v>
      </c>
      <c r="H24" s="56">
        <v>6.8315801068017157</v>
      </c>
    </row>
    <row r="25" spans="3:8">
      <c r="C25" s="68" t="str">
        <f>+IF(Índice!$D$2=1,"Subsídios","Subsidies")</f>
        <v>Subsidies</v>
      </c>
      <c r="D25" s="56">
        <v>20.881450000000001</v>
      </c>
      <c r="E25" s="56">
        <v>1602.3129199999998</v>
      </c>
      <c r="F25" s="56">
        <v>0</v>
      </c>
      <c r="G25" s="56">
        <v>1618.9421</v>
      </c>
      <c r="H25" s="56">
        <v>188.21027391547659</v>
      </c>
    </row>
    <row r="26" spans="3:8">
      <c r="C26" s="68" t="str">
        <f>+IF(Índice!$D$2=1,"Juros e outros encargos","Interests and other charges")</f>
        <v>Interests and other charges</v>
      </c>
      <c r="D26" s="56">
        <v>18864.496900000002</v>
      </c>
      <c r="E26" s="56">
        <v>0.11546000000000001</v>
      </c>
      <c r="F26" s="56">
        <v>0.91877000000000009</v>
      </c>
      <c r="G26" s="56">
        <v>18865.531130000003</v>
      </c>
      <c r="H26" s="56">
        <v>-4.5423075961306569</v>
      </c>
    </row>
    <row r="27" spans="3:8">
      <c r="C27" s="68" t="str">
        <f>+IF(Índice!$D$2=1,"Transferências correntes","Current transfers")</f>
        <v>Current transfers</v>
      </c>
      <c r="D27" s="56">
        <v>71342.56643000005</v>
      </c>
      <c r="E27" s="56">
        <v>54913.545339999982</v>
      </c>
      <c r="F27" s="56">
        <v>2427.8811500000002</v>
      </c>
      <c r="G27" s="56">
        <v>17072.281040000031</v>
      </c>
      <c r="H27" s="56">
        <v>22.29083626605064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391.44342</v>
      </c>
      <c r="F28" s="56">
        <v>0</v>
      </c>
      <c r="G28" s="56">
        <v>391.44342</v>
      </c>
      <c r="H28" s="56">
        <v>-3.712490132793389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61439.325260000005</v>
      </c>
      <c r="E29" s="56">
        <v>50172.386619999997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8643.0912599999992</v>
      </c>
      <c r="E31" s="57">
        <v>21.25356</v>
      </c>
      <c r="F31" s="57">
        <v>9248.9710200000009</v>
      </c>
      <c r="G31" s="57">
        <v>17703.975989999999</v>
      </c>
      <c r="H31" s="57">
        <v>56.987534154023713</v>
      </c>
    </row>
    <row r="32" spans="3:8">
      <c r="C32" s="68" t="str">
        <f>+IF(Índice!$D$2=1,"Investimento","Investment")</f>
        <v>Investment</v>
      </c>
      <c r="D32" s="56">
        <v>5236.0409599999994</v>
      </c>
      <c r="E32" s="56">
        <v>21.25356</v>
      </c>
      <c r="F32" s="56">
        <v>9000.0440400000007</v>
      </c>
      <c r="G32" s="56">
        <v>14257.33856</v>
      </c>
      <c r="H32" s="56">
        <v>70.204967792921778</v>
      </c>
    </row>
    <row r="33" spans="3:8">
      <c r="C33" s="68" t="str">
        <f>+IF(Índice!$D$2=1,"Transferências capital","Capital transfers")</f>
        <v>Capital transfers</v>
      </c>
      <c r="D33" s="56">
        <v>3407.0503000000003</v>
      </c>
      <c r="E33" s="56">
        <v>0</v>
      </c>
      <c r="F33" s="56">
        <v>248.92698000000001</v>
      </c>
      <c r="G33" s="56">
        <v>3446.6374300000007</v>
      </c>
      <c r="H33" s="56">
        <v>18.819120995713988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857.71044999999992</v>
      </c>
      <c r="E34" s="56">
        <v>0</v>
      </c>
      <c r="F34" s="56">
        <v>0</v>
      </c>
      <c r="G34" s="56">
        <v>857.71044999999992</v>
      </c>
      <c r="H34" s="56">
        <v>-49.049042891664755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209.33985000000001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198878.37150000001</v>
      </c>
      <c r="E38" s="86">
        <v>65859.092459999985</v>
      </c>
      <c r="F38" s="86">
        <v>71845.557210000043</v>
      </c>
      <c r="G38" s="86">
        <v>224757.71717000008</v>
      </c>
      <c r="H38" s="86">
        <v>7.8579258918583417</v>
      </c>
    </row>
    <row r="39" spans="3:8" ht="17.25" customHeight="1">
      <c r="C39" s="138" t="str">
        <f>+IF(Índice!$D$2=1,"Saldo global","Overall balance")</f>
        <v>Overall balance</v>
      </c>
      <c r="D39" s="139">
        <v>51606.75052999999</v>
      </c>
      <c r="E39" s="139">
        <v>6916.6433600000164</v>
      </c>
      <c r="F39" s="139">
        <v>5023.4623599999613</v>
      </c>
      <c r="G39" s="139">
        <v>63551.108519999892</v>
      </c>
      <c r="H39" s="139">
        <v>-16.4325833878064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27107.745329999947</v>
      </c>
      <c r="E41" s="19">
        <v>6678.862690000009</v>
      </c>
      <c r="F41" s="19">
        <v>351.00978999996005</v>
      </c>
      <c r="G41" s="19">
        <v>34141.870079999906</v>
      </c>
      <c r="H41" s="19">
        <v>-34.511286362907725</v>
      </c>
    </row>
    <row r="42" spans="3:8">
      <c r="C42" s="68" t="str">
        <f>+IF(Índice!$D$2=1,"Despesa corrente primária","Primary current expenditure")</f>
        <v>Primary current expenditure</v>
      </c>
      <c r="D42" s="19">
        <v>171370.78334000005</v>
      </c>
      <c r="E42" s="19">
        <v>65837.723439999987</v>
      </c>
      <c r="F42" s="19">
        <v>62595.667420000042</v>
      </c>
      <c r="G42" s="19">
        <v>188188.21005000005</v>
      </c>
      <c r="H42" s="19">
        <v>6.1156414146996463</v>
      </c>
    </row>
    <row r="43" spans="3:8">
      <c r="C43" s="68" t="str">
        <f>+IF(Índice!$D$2=1,"Saldo corrente primário","Primary current balance")</f>
        <v>Primary current balance</v>
      </c>
      <c r="D43" s="19">
        <v>45972.242229999945</v>
      </c>
      <c r="E43" s="19">
        <v>6678.9781500000099</v>
      </c>
      <c r="F43" s="19">
        <v>351.92855999995663</v>
      </c>
      <c r="G43" s="19">
        <v>53007.401209999924</v>
      </c>
      <c r="H43" s="19">
        <v>-26.273358444409624</v>
      </c>
    </row>
    <row r="44" spans="3:8">
      <c r="C44" s="68" t="str">
        <f>+IF(Índice!$D$2=1,"Saldo de capital","Capital balance")</f>
        <v>Capital balance</v>
      </c>
      <c r="D44" s="19">
        <v>24499.005199999992</v>
      </c>
      <c r="E44" s="19">
        <v>237.78066999999999</v>
      </c>
      <c r="F44" s="19">
        <v>4672.4525699999976</v>
      </c>
      <c r="G44" s="19">
        <v>29409.238439999986</v>
      </c>
      <c r="H44" s="19">
        <v>22.980523883007329</v>
      </c>
    </row>
    <row r="45" spans="3:8">
      <c r="C45" s="68" t="str">
        <f t="array" ref="C45">+IF(Índice!$D$2=1,"Despesa primária","Primary expenditure")</f>
        <v>Primary expenditure</v>
      </c>
      <c r="D45" s="19">
        <v>180013.87460000001</v>
      </c>
      <c r="E45" s="19">
        <v>65858.976999999984</v>
      </c>
      <c r="F45" s="19">
        <v>71844.638440000039</v>
      </c>
      <c r="G45" s="19">
        <v>205892.18604000006</v>
      </c>
      <c r="H45" s="19">
        <v>9.157199110339409</v>
      </c>
    </row>
    <row r="46" spans="3:8">
      <c r="C46" s="221" t="str">
        <f>+IF(Índice!$D$2=1,"Saldo primário","Primary balance")</f>
        <v>Primary balance</v>
      </c>
      <c r="D46" s="132">
        <v>70471.247429999989</v>
      </c>
      <c r="E46" s="132">
        <v>6916.7588200000173</v>
      </c>
      <c r="F46" s="132">
        <v>5024.3811299999652</v>
      </c>
      <c r="G46" s="132">
        <v>82416.63964999991</v>
      </c>
      <c r="H46" s="132">
        <v>-13.979937300580547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4"/>
      <c r="E48" s="324"/>
      <c r="F48" s="324"/>
      <c r="G48" s="324"/>
    </row>
    <row r="49" spans="3:7" ht="9" customHeight="1">
      <c r="C49" s="324"/>
      <c r="D49" s="324"/>
      <c r="E49" s="324"/>
      <c r="F49" s="324"/>
      <c r="G49" s="324"/>
    </row>
    <row r="50" spans="3:7" ht="9" customHeight="1">
      <c r="C50" s="324"/>
      <c r="D50" s="324"/>
      <c r="E50" s="324"/>
      <c r="F50" s="324"/>
      <c r="G50" s="324"/>
    </row>
    <row r="51" spans="3:7" ht="9" customHeight="1">
      <c r="C51" s="32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4"/>
      <c r="E51" s="324"/>
      <c r="F51" s="324"/>
      <c r="G51" s="324"/>
    </row>
    <row r="52" spans="3:7" ht="9" customHeight="1">
      <c r="C52" s="324"/>
      <c r="D52" s="324"/>
      <c r="E52" s="324"/>
      <c r="F52" s="324"/>
      <c r="G52" s="324"/>
    </row>
    <row r="53" spans="3:7" ht="9" customHeight="1">
      <c r="C53" s="324"/>
      <c r="D53" s="324"/>
      <c r="E53" s="324"/>
      <c r="F53" s="324"/>
      <c r="G53" s="32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O8" sqref="O8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(janeiro-fevereiro)","TABLE II - Regional Gov. budget execution (january-february)")</f>
        <v>TABLE II - Regional Gov. budget execution (january-february)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206404.2893</v>
      </c>
      <c r="E5" s="225">
        <v>217343.02557</v>
      </c>
      <c r="F5" s="225">
        <v>5.29966518966134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148858.93637000001</v>
      </c>
      <c r="E6" s="231">
        <v>146693.13828000001</v>
      </c>
      <c r="F6" s="231">
        <v>-1.4549332024089812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38971.061910000004</v>
      </c>
      <c r="E7" s="231">
        <v>29860.143929999998</v>
      </c>
      <c r="F7" s="231">
        <v>-23.378675184784058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109887.87446000001</v>
      </c>
      <c r="E8" s="231">
        <v>116832.99435000001</v>
      </c>
      <c r="F8" s="231">
        <v>6.3201876677740909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57545.352930000001</v>
      </c>
      <c r="E9" s="231">
        <v>70649.887289999999</v>
      </c>
      <c r="F9" s="231">
        <v>22.772532781127897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30657.728890000002</v>
      </c>
      <c r="E10" s="232">
        <v>33142.096460000001</v>
      </c>
      <c r="F10" s="232">
        <v>8.1035603743314191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237062.01819</v>
      </c>
      <c r="E12" s="232">
        <v>250485.12203</v>
      </c>
      <c r="F12" s="232">
        <v>5.662275189626409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180897.1175399998</v>
      </c>
      <c r="E14" s="232">
        <v>190235.28023999993</v>
      </c>
      <c r="F14" s="232">
        <v>5.1621401308040715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61445.177139999847</v>
      </c>
      <c r="E15" s="231">
        <v>62829.175059999943</v>
      </c>
      <c r="F15" s="231">
        <v>2.2524109855631469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35734.939509999997</v>
      </c>
      <c r="E16" s="231">
        <v>37061.557839999987</v>
      </c>
      <c r="F16" s="231">
        <v>3.7123844287710428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19688.239740000001</v>
      </c>
      <c r="E17" s="231">
        <v>18864.496900000002</v>
      </c>
      <c r="F17" s="231">
        <v>-4.1839334083606516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63956.366699999984</v>
      </c>
      <c r="E18" s="231">
        <v>71342.566430000006</v>
      </c>
      <c r="F18" s="231">
        <v>11.548810714414802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55626.430539999979</v>
      </c>
      <c r="E19" s="231">
        <v>61439.325260000005</v>
      </c>
      <c r="F19" s="231">
        <v>10.449879065707934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8329.9361600000011</v>
      </c>
      <c r="E20" s="231">
        <v>9903.2411699999993</v>
      </c>
      <c r="F20" s="231">
        <v>18.887359756188072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0</v>
      </c>
      <c r="E21" s="231">
        <v>20.881450000000001</v>
      </c>
      <c r="F21" s="231">
        <v>0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72.394449999999949</v>
      </c>
      <c r="E22" s="231">
        <v>116.60256000000001</v>
      </c>
      <c r="F22" s="231">
        <v>61.065606548568432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10270.290740000004</v>
      </c>
      <c r="E23" s="232">
        <v>8643.0912599999992</v>
      </c>
      <c r="F23" s="232">
        <v>-15.843752832259195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5921.1363400000046</v>
      </c>
      <c r="E24" s="231">
        <v>5236.0409599999994</v>
      </c>
      <c r="F24" s="231">
        <v>-11.57033617638341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4349.1543999999994</v>
      </c>
      <c r="E25" s="231">
        <v>3407.0502999999999</v>
      </c>
      <c r="F25" s="231">
        <v>-21.661776367378437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3847.93806</v>
      </c>
      <c r="E26" s="231">
        <v>1067.0502999999999</v>
      </c>
      <c r="F26" s="231">
        <v>-72.269556230850569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501.21633999999995</v>
      </c>
      <c r="E27" s="231">
        <v>2340</v>
      </c>
      <c r="F27" s="231">
        <v>366.86426863098677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191167.4082799998</v>
      </c>
      <c r="E29" s="235">
        <v>198878.37149999992</v>
      </c>
      <c r="F29" s="235">
        <v>4.0336181200437693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45894.609910000203</v>
      </c>
      <c r="E31" s="139">
        <v>51606.750530000063</v>
      </c>
      <c r="F31" s="139">
        <v>12.446212379190991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25507.171760000201</v>
      </c>
      <c r="E33" s="19">
        <v>27107.745330000063</v>
      </c>
      <c r="F33" s="19">
        <v>6.2749942841951789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20387.438149999998</v>
      </c>
      <c r="E34" s="19">
        <v>24499.0052</v>
      </c>
      <c r="F34" s="19">
        <v>20.167158912999582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65582.849650000207</v>
      </c>
      <c r="E35" s="19">
        <v>70471.247430000061</v>
      </c>
      <c r="F35" s="19">
        <v>7.4537745860206561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0</v>
      </c>
      <c r="E36" s="106">
        <v>608.14400000000001</v>
      </c>
      <c r="F36" s="106">
        <v>0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5"/>
      <c r="D38" s="325"/>
      <c r="E38" s="325"/>
      <c r="F38" s="325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O8" sqref="O8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(fevereiro)","TABLE III - Regional Gov. budget execution (february)")</f>
        <v>TABLE III - Regional Gov. budget execution (february)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2024</v>
      </c>
      <c r="E3" s="293">
        <v>2025</v>
      </c>
      <c r="F3" s="293" t="s">
        <v>100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106495.14164</v>
      </c>
      <c r="E5" s="225">
        <v>113700.88649000002</v>
      </c>
      <c r="F5" s="225">
        <v>6.766266271900534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99427.651089999999</v>
      </c>
      <c r="E6" s="231">
        <v>94564.480620000017</v>
      </c>
      <c r="F6" s="231">
        <v>-4.8911649995612709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38971.061909999997</v>
      </c>
      <c r="E7" s="231">
        <v>29860.143929999998</v>
      </c>
      <c r="F7" s="231">
        <v>-23.378675184784047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60456.589180000003</v>
      </c>
      <c r="E8" s="231">
        <v>64704.336690000011</v>
      </c>
      <c r="F8" s="231">
        <v>7.0261117400338469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7067.4905500000041</v>
      </c>
      <c r="E9" s="231">
        <v>19136.405869999999</v>
      </c>
      <c r="F9" s="231">
        <v>170.76662833316399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229.30269999999632</v>
      </c>
      <c r="E10" s="232">
        <v>10475.395850000001</v>
      </c>
      <c r="F10" s="232">
        <v>4468.370040998283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106724.44434</v>
      </c>
      <c r="E12" s="232">
        <v>124176.28234000002</v>
      </c>
      <c r="F12" s="232">
        <v>16.352240677311379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124226.72983999987</v>
      </c>
      <c r="E14" s="232">
        <v>106271.06197000004</v>
      </c>
      <c r="F14" s="232">
        <v>-14.453948754125756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33932.436469999928</v>
      </c>
      <c r="E15" s="231">
        <v>35110.117810000032</v>
      </c>
      <c r="F15" s="231">
        <v>3.4706654237496526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33436.446959999994</v>
      </c>
      <c r="E16" s="231">
        <v>34833.849839999988</v>
      </c>
      <c r="F16" s="231">
        <v>4.1792804171798092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828.89969000000508</v>
      </c>
      <c r="E17" s="231">
        <v>301.80729000000656</v>
      </c>
      <c r="F17" s="231">
        <v>-63.58940730210616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55991.036729999934</v>
      </c>
      <c r="E18" s="231">
        <v>35912.452310000008</v>
      </c>
      <c r="F18" s="231">
        <v>-35.860354786468605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0</v>
      </c>
      <c r="E19" s="231">
        <v>20.881450000000001</v>
      </c>
      <c r="F19" s="231">
        <v>0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37.909989999999951</v>
      </c>
      <c r="E20" s="231">
        <v>91.953270000000018</v>
      </c>
      <c r="F20" s="231">
        <v>142.55683000707765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9629.0879200000054</v>
      </c>
      <c r="E21" s="232">
        <v>5754.4737799999994</v>
      </c>
      <c r="F21" s="232">
        <v>-40.238641210786696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5859.8884200000048</v>
      </c>
      <c r="E22" s="231">
        <v>5113.359199999999</v>
      </c>
      <c r="F22" s="231">
        <v>-12.739649059734237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3769.1995000000006</v>
      </c>
      <c r="E23" s="231">
        <v>641.11458000000005</v>
      </c>
      <c r="F23" s="231">
        <v>-82.990696565676615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133855.81775999989</v>
      </c>
      <c r="E25" s="300">
        <v>112025.53575000004</v>
      </c>
      <c r="F25" s="300">
        <v>-16.308803289477481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-27131.373419999887</v>
      </c>
      <c r="E27" s="287">
        <v>12150.746589999981</v>
      </c>
      <c r="F27" s="287">
        <v>144.78485626917455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-17731.588199999867</v>
      </c>
      <c r="E29" s="19">
        <v>7429.8245199999801</v>
      </c>
      <c r="F29" s="19">
        <v>141.90163022170813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-9399.7852200000088</v>
      </c>
      <c r="E30" s="19">
        <v>4720.9220700000014</v>
      </c>
      <c r="F30" s="19">
        <v>150.22372277140175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-26302.473729999881</v>
      </c>
      <c r="E31" s="19">
        <v>12452.553879999987</v>
      </c>
      <c r="F31" s="19">
        <v>147.34366055386246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5"/>
      <c r="E33" s="325"/>
      <c r="F33" s="325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O8" sqref="O8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(janeiro-fevereiro)","TABLE IV - Regional Gov. tax revenue budget execution (january-february)")</f>
        <v>TABLE IV - Regional Gov. tax revenue budget execution (january-february)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148858.93637000001</v>
      </c>
      <c r="E5" s="33">
        <v>146693.13828000001</v>
      </c>
      <c r="F5" s="270">
        <v>-1.4549332024089812E-2</v>
      </c>
      <c r="G5" s="270">
        <v>0.11758070947689006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38971.061910000004</v>
      </c>
      <c r="E7" s="70">
        <v>29860.143929999998</v>
      </c>
      <c r="F7" s="271">
        <v>-0.23378675184784059</v>
      </c>
      <c r="G7" s="271">
        <v>6.5020963661476305E-2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25805.811079999999</v>
      </c>
      <c r="E8" s="70">
        <v>27756.531489999998</v>
      </c>
      <c r="F8" s="271">
        <v>7.5592292137325767E-2</v>
      </c>
      <c r="G8" s="271">
        <v>0.11659382628272597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13165.250830000001</v>
      </c>
      <c r="E9" s="70">
        <v>2103.6124399999999</v>
      </c>
      <c r="F9" s="271">
        <v>-0.84021478457467413</v>
      </c>
      <c r="G9" s="271">
        <v>9.5109927748938151E-3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109887.87446000001</v>
      </c>
      <c r="E11" s="70">
        <v>116832.99435000001</v>
      </c>
      <c r="F11" s="271">
        <v>6.3201876677740909E-2</v>
      </c>
      <c r="G11" s="271">
        <v>0.14819816271612854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3201.1762400000002</v>
      </c>
      <c r="E12" s="70">
        <v>3559.00218</v>
      </c>
      <c r="F12" s="271">
        <v>0.11177951889334259</v>
      </c>
      <c r="G12" s="271">
        <v>7.4145878750000005E-2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95698.535990000004</v>
      </c>
      <c r="E13" s="70">
        <v>100158.66703000001</v>
      </c>
      <c r="F13" s="271">
        <v>4.6606052996109204E-2</v>
      </c>
      <c r="G13" s="271">
        <v>0.16636876670735021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427.43428999999998</v>
      </c>
      <c r="E14" s="70">
        <v>729.65641000000005</v>
      </c>
      <c r="F14" s="271">
        <v>0.70706100813764872</v>
      </c>
      <c r="G14" s="271">
        <v>9.686133147484402E-2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2602.2979799999998</v>
      </c>
      <c r="E15" s="70">
        <v>4565.9494599999998</v>
      </c>
      <c r="F15" s="271">
        <v>0.75458363918800719</v>
      </c>
      <c r="G15" s="271">
        <v>9.0388252326964014E-2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1411.3776400000002</v>
      </c>
      <c r="E16" s="70">
        <v>1351.9340500000001</v>
      </c>
      <c r="F16" s="271">
        <v>-4.2117423654239095E-2</v>
      </c>
      <c r="G16" s="271">
        <v>0.10540464102433363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6547.0523199999998</v>
      </c>
      <c r="E17" s="70">
        <v>6467.7852200000007</v>
      </c>
      <c r="F17" s="271">
        <v>-1.2107295944138619E-2</v>
      </c>
      <c r="G17" s="271">
        <v>9.5883661622733971E-2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3468.0855699999997</v>
      </c>
      <c r="E18" s="70">
        <v>3605.2310699999998</v>
      </c>
      <c r="F18" s="271">
        <v>3.9545016185976056E-2</v>
      </c>
      <c r="G18" s="271">
        <v>9.6220494895542991E-2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0</v>
      </c>
      <c r="E19" s="70">
        <v>0</v>
      </c>
      <c r="F19" s="271">
        <v>0</v>
      </c>
      <c r="G19" s="271">
        <v>0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88203.081820000007</v>
      </c>
      <c r="E21" s="33">
        <v>103791.98375</v>
      </c>
      <c r="F21" s="270">
        <v>0.17673874436511139</v>
      </c>
      <c r="G21" s="270">
        <v>0.16144066427045123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237062.01819000003</v>
      </c>
      <c r="E23" s="139">
        <v>250485.12203000003</v>
      </c>
      <c r="F23" s="274">
        <v>5.662275189626409E-2</v>
      </c>
      <c r="G23" s="274">
        <v>0.13249631623684119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O8" sqref="O8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(janeiro-fevereiro)","TABLE V - Regional Gov. non-tax revenue budget execution (january-february)")</f>
        <v>TABLE V - Regional Gov. non-tax revenue budget execution (january-february)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148858.93637000001</v>
      </c>
      <c r="E5" s="41">
        <v>146693.13828000001</v>
      </c>
      <c r="F5" s="276">
        <v>-1.4549332024089812E-2</v>
      </c>
      <c r="G5" s="42">
        <v>0.11758070947689006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88203.081820000007</v>
      </c>
      <c r="E7" s="41">
        <v>103791.98375</v>
      </c>
      <c r="F7" s="276">
        <v>0.17673874436511139</v>
      </c>
      <c r="G7" s="42">
        <v>0.16144066427045123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57545.352930000001</v>
      </c>
      <c r="E8" s="41">
        <v>70649.887289999999</v>
      </c>
      <c r="F8" s="276">
        <v>0.22772532781127897</v>
      </c>
      <c r="G8" s="42">
        <v>0.19321223124146014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2535.6156700000001</v>
      </c>
      <c r="E10" s="71">
        <v>2601.9973000000005</v>
      </c>
      <c r="F10" s="278">
        <v>2.617968913246238E-2</v>
      </c>
      <c r="G10" s="43">
        <v>5.8682674529040614E-2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7.6011699999999998</v>
      </c>
      <c r="E11" s="71">
        <v>12.52552</v>
      </c>
      <c r="F11" s="278">
        <v>0.64784105604795061</v>
      </c>
      <c r="G11" s="43">
        <v>1.6883862986096902E-3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49364.531660000001</v>
      </c>
      <c r="E12" s="71">
        <v>62550.875059999998</v>
      </c>
      <c r="F12" s="278">
        <v>0.26712181715449912</v>
      </c>
      <c r="G12" s="43">
        <v>0.22177032194140478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1793.4769900000001</v>
      </c>
      <c r="E13" s="47">
        <v>1951.8114800000003</v>
      </c>
      <c r="F13" s="278">
        <v>8.8283535770369737E-2</v>
      </c>
      <c r="G13" s="43">
        <v>0.14004240566440146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3844.1274399999998</v>
      </c>
      <c r="E14" s="71">
        <v>3532.6779299999994</v>
      </c>
      <c r="F14" s="278">
        <v>-8.1019559018574161E-2</v>
      </c>
      <c r="G14" s="43">
        <v>0.19723576372876017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30657.728890000002</v>
      </c>
      <c r="E17" s="41">
        <v>33142.096460000001</v>
      </c>
      <c r="F17" s="276">
        <v>8.10356037433142E-2</v>
      </c>
      <c r="G17" s="42">
        <v>0.11953800976819126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306.94</v>
      </c>
      <c r="E18" s="71">
        <v>19.8948</v>
      </c>
      <c r="F18" s="278">
        <v>-0.93518342347038508</v>
      </c>
      <c r="G18" s="43">
        <v>1.8563974647112975E-3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29390.866310000001</v>
      </c>
      <c r="E19" s="44">
        <v>31664.13967</v>
      </c>
      <c r="F19" s="278">
        <v>7.7346252268397198E-2</v>
      </c>
      <c r="G19" s="43">
        <v>0.12318992376073649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1.7054400000000001</v>
      </c>
      <c r="E20" s="71">
        <v>0</v>
      </c>
      <c r="F20" s="278">
        <v>-1</v>
      </c>
      <c r="G20" s="43"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958.21713999999997</v>
      </c>
      <c r="E21" s="47">
        <v>1458.0619900000002</v>
      </c>
      <c r="F21" s="278">
        <v>0.5216404811961517</v>
      </c>
      <c r="G21" s="43">
        <v>0.15373683671121754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237062.01819000003</v>
      </c>
      <c r="E23" s="287">
        <v>250485.12203000003</v>
      </c>
      <c r="F23" s="288">
        <v>5.662275189626409E-2</v>
      </c>
      <c r="G23" s="288">
        <v>0.13249631623684119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O8" sqref="O8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(janeiro-fevereiro)","TABLE VI - Regional Gov. expenditure budget execution (january-february)")</f>
        <v>TABLE VI - Regional Gov. expenditure budget execution (january-february)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7">
        <v>2024</v>
      </c>
      <c r="E3" s="329">
        <v>2025</v>
      </c>
      <c r="F3" s="153">
        <v>2024</v>
      </c>
      <c r="G3" s="153">
        <v>2025</v>
      </c>
      <c r="H3" s="330" t="str">
        <f>+IF(Índice!$D$2=1,"VH (%)","yoy change (%)")</f>
        <v>yoy change (%)</v>
      </c>
    </row>
    <row r="4" spans="1:15" ht="12" customHeight="1">
      <c r="C4" s="132"/>
      <c r="D4" s="328"/>
      <c r="E4" s="328"/>
      <c r="F4" s="326" t="str">
        <f>+IF(Índice!$D$2=1,"Grau de Execução (%)","Execution level (%)")</f>
        <v>Execution level (%)</v>
      </c>
      <c r="G4" s="326" t="str">
        <f>+IF(Índice!$D$2="PT","Grau de Execução (%)","Execution Level (%)")</f>
        <v>Execution Level (%)</v>
      </c>
      <c r="H4" s="33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180897.1175399998</v>
      </c>
      <c r="E5" s="253">
        <v>190235.28023999993</v>
      </c>
      <c r="F5" s="253">
        <v>12.419771045513954</v>
      </c>
      <c r="G5" s="253">
        <v>11.823749311033062</v>
      </c>
      <c r="H5" s="253">
        <v>5.1621401308040671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61445.177139999847</v>
      </c>
      <c r="E6" s="74">
        <v>62829.175059999943</v>
      </c>
      <c r="F6" s="74">
        <v>13.446077819730586</v>
      </c>
      <c r="G6" s="74">
        <v>12.907842842338797</v>
      </c>
      <c r="H6" s="254">
        <v>2.252410985563154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54351.443649999957</v>
      </c>
      <c r="E7" s="75">
        <v>55385.139079999943</v>
      </c>
      <c r="F7" s="75">
        <v>14.952549941510798</v>
      </c>
      <c r="G7" s="75">
        <v>14.514089721949089</v>
      </c>
      <c r="H7" s="254">
        <v>1.9018729965234071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539.97100999999998</v>
      </c>
      <c r="E8" s="75">
        <v>891.21733999999992</v>
      </c>
      <c r="F8" s="75">
        <v>7.0189494512316708</v>
      </c>
      <c r="G8" s="75">
        <v>6.1225094985671591</v>
      </c>
      <c r="H8" s="254">
        <v>65.04910884012088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6553.7624800000031</v>
      </c>
      <c r="E9" s="75">
        <v>6552.8186399999968</v>
      </c>
      <c r="F9" s="75">
        <v>7.6394087060546623</v>
      </c>
      <c r="G9" s="75">
        <v>7.2327033908101344</v>
      </c>
      <c r="H9" s="254">
        <v>-1.4401498419977453E-2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35734.939509999997</v>
      </c>
      <c r="E10" s="75">
        <v>37061.557839999987</v>
      </c>
      <c r="F10" s="75">
        <v>17.465846372814109</v>
      </c>
      <c r="G10" s="75">
        <v>16.529312562566563</v>
      </c>
      <c r="H10" s="254">
        <v>3.7123844287710406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19688.239740000001</v>
      </c>
      <c r="E11" s="75">
        <v>18864.496900000002</v>
      </c>
      <c r="F11" s="75">
        <v>14.629242560573116</v>
      </c>
      <c r="G11" s="75">
        <v>13.773291145124883</v>
      </c>
      <c r="H11" s="254">
        <v>-4.1839334083606552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63956.366699999984</v>
      </c>
      <c r="E12" s="74">
        <v>71342.566430000006</v>
      </c>
      <c r="F12" s="74">
        <v>10.302013664058588</v>
      </c>
      <c r="G12" s="74">
        <v>9.6018704532551187</v>
      </c>
      <c r="H12" s="254">
        <v>11.548810714414808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55626.430539999979</v>
      </c>
      <c r="E13" s="74">
        <v>61439.325260000005</v>
      </c>
      <c r="F13" s="74">
        <v>10.697544327377843</v>
      </c>
      <c r="G13" s="74">
        <v>9.7826976678665183</v>
      </c>
      <c r="H13" s="254">
        <v>10.44987906570794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55626.430539999979</v>
      </c>
      <c r="E15" s="75">
        <v>61439.325260000005</v>
      </c>
      <c r="F15" s="75">
        <v>10.707429774618218</v>
      </c>
      <c r="G15" s="75">
        <v>9.7928305007966667</v>
      </c>
      <c r="H15" s="254">
        <v>10.44987906570794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101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101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8329.9361600000011</v>
      </c>
      <c r="E18" s="75">
        <v>9903.2411699999993</v>
      </c>
      <c r="F18" s="72">
        <v>8.2620463468248975</v>
      </c>
      <c r="G18" s="72">
        <v>8.6140426194496058</v>
      </c>
      <c r="H18" s="77">
        <v>18.887359756188072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0</v>
      </c>
      <c r="E19" s="72">
        <v>20.881450000000001</v>
      </c>
      <c r="F19" s="72">
        <v>0</v>
      </c>
      <c r="G19" s="72">
        <v>0.18419649154748535</v>
      </c>
      <c r="H19" s="77">
        <v>0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72.394449999999949</v>
      </c>
      <c r="E20" s="72">
        <v>116.60256000000001</v>
      </c>
      <c r="F20" s="72">
        <v>1.7870103025092374</v>
      </c>
      <c r="G20" s="72">
        <v>1.7538813926896342</v>
      </c>
      <c r="H20" s="77">
        <v>61.065606548568418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161208.87779999981</v>
      </c>
      <c r="E22" s="78">
        <v>171370.78333999994</v>
      </c>
      <c r="F22" s="78">
        <v>12.194834301673522</v>
      </c>
      <c r="G22" s="78">
        <v>11.642346588612993</v>
      </c>
      <c r="H22" s="76">
        <v>6.3035644678373508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10270.290740000004</v>
      </c>
      <c r="E24" s="78">
        <v>8643.0912599999992</v>
      </c>
      <c r="F24" s="78">
        <v>3.5629929414702048</v>
      </c>
      <c r="G24" s="78">
        <v>2.5922895762572362</v>
      </c>
      <c r="H24" s="76">
        <v>-15.843752832259197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5921.1363400000046</v>
      </c>
      <c r="E25" s="72">
        <v>5236.0409599999994</v>
      </c>
      <c r="F25" s="72">
        <v>3.0294494436258481</v>
      </c>
      <c r="G25" s="72">
        <v>2.9642039116078358</v>
      </c>
      <c r="H25" s="77">
        <v>-11.57033617638341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4349.1543999999994</v>
      </c>
      <c r="E26" s="59">
        <v>3407.0502999999999</v>
      </c>
      <c r="F26" s="59">
        <v>4.6867694458438329</v>
      </c>
      <c r="G26" s="59">
        <v>2.2013216198735508</v>
      </c>
      <c r="H26" s="77">
        <v>-21.66177636737844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3847.93806</v>
      </c>
      <c r="E27" s="59">
        <v>1067.0502999999999</v>
      </c>
      <c r="F27" s="59">
        <v>5.2298163588652278</v>
      </c>
      <c r="G27" s="59">
        <v>1.0094265494839807</v>
      </c>
      <c r="H27" s="77">
        <v>-72.269556230850569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1683.404</v>
      </c>
      <c r="E28" s="72">
        <v>857.71044999999992</v>
      </c>
      <c r="F28" s="72">
        <v>21.730541665445717</v>
      </c>
      <c r="G28" s="72">
        <v>7.8269928953817471</v>
      </c>
      <c r="H28" s="77">
        <v>-49.049042891664755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2164.53406</v>
      </c>
      <c r="E29" s="72">
        <v>209.33985000000001</v>
      </c>
      <c r="F29" s="72">
        <v>3.5714045102309515</v>
      </c>
      <c r="G29" s="72">
        <v>0.24546924586151148</v>
      </c>
      <c r="H29" s="77">
        <v>-90.328641444431696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0</v>
      </c>
      <c r="E30" s="72">
        <v>0</v>
      </c>
      <c r="F30" s="72">
        <v>0</v>
      </c>
      <c r="G30" s="72">
        <v>0</v>
      </c>
      <c r="H30" s="77" t="s">
        <v>101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191167.4082799998</v>
      </c>
      <c r="E33" s="142">
        <v>198878.37149999992</v>
      </c>
      <c r="F33" s="143">
        <v>10.956569099832798</v>
      </c>
      <c r="G33" s="143">
        <v>10.239109390483192</v>
      </c>
      <c r="H33" s="141">
        <v>4.0336181200437675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0</v>
      </c>
      <c r="E36" s="150">
        <v>608.14400000000001</v>
      </c>
      <c r="F36" s="150">
        <v>0</v>
      </c>
      <c r="G36" s="150">
        <v>3.0833993343969555</v>
      </c>
      <c r="H36" s="128" t="s">
        <v>101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49924.201989999994</v>
      </c>
      <c r="E37" s="150">
        <v>49952.632819999999</v>
      </c>
      <c r="F37" s="150">
        <v>19.467903070044382</v>
      </c>
      <c r="G37" s="150">
        <v>10.770311343630439</v>
      </c>
      <c r="H37" s="128">
        <v>5.6947990887665244E-2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J21" sqref="J21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(janeiro-fevereiro)","TABLE VII - Regional Gov. expenditure by functional classification (january-february)")</f>
        <v>TABLE VII - Regional Gov. expenditure by functional classification (january-february)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9">
        <v>2024</v>
      </c>
      <c r="E3" s="332">
        <v>2025</v>
      </c>
      <c r="F3" s="333" t="str">
        <f>+IF(Índice!$D$2=1,"Peso na estrutura
 em 2025","Weight in 2025 structure")</f>
        <v>Weight in 2025 structure</v>
      </c>
      <c r="M3" s="7"/>
      <c r="N3" s="7"/>
      <c r="P3" s="9"/>
      <c r="Q3" s="9"/>
    </row>
    <row r="4" spans="2:17" ht="13.5" customHeight="1">
      <c r="C4" s="134"/>
      <c r="D4" s="328"/>
      <c r="E4" s="328"/>
      <c r="F4" s="32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31657.677000000003</v>
      </c>
      <c r="E5" s="34">
        <v>34980.190099999993</v>
      </c>
      <c r="F5" s="34">
        <v>17.588735183302727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1119.2723100000003</v>
      </c>
      <c r="E7" s="34">
        <v>1415.7533599999999</v>
      </c>
      <c r="F7" s="34">
        <v>0.71186894247070021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41435.612419999969</v>
      </c>
      <c r="E8" s="34">
        <v>38394.399570000001</v>
      </c>
      <c r="F8" s="34">
        <v>19.305467598320522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2255.879840000001</v>
      </c>
      <c r="E9" s="34">
        <v>3058.9550399999989</v>
      </c>
      <c r="F9" s="34">
        <v>1.538103423176914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3371.1896499999993</v>
      </c>
      <c r="E10" s="34">
        <v>3185.2092099999995</v>
      </c>
      <c r="F10" s="34">
        <v>1.6015865304890637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47039.712189999991</v>
      </c>
      <c r="E11" s="34">
        <v>52631.15466</v>
      </c>
      <c r="F11" s="34">
        <v>26.463991163564017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2772.7847800000013</v>
      </c>
      <c r="E12" s="34">
        <v>3279.9115599999982</v>
      </c>
      <c r="F12" s="34">
        <v>1.6492047552792835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60078.007400000039</v>
      </c>
      <c r="E13" s="34">
        <v>60410.537179999919</v>
      </c>
      <c r="F13" s="34">
        <v>30.375619392076501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1437.2726899999998</v>
      </c>
      <c r="E14" s="34">
        <v>1522.26082</v>
      </c>
      <c r="F14" s="34">
        <v>0.76542301132026347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191167.40828</v>
      </c>
      <c r="E17" s="145">
        <v>198878.37149999992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0</v>
      </c>
      <c r="E20" s="152">
        <v>608.14400000000001</v>
      </c>
      <c r="F20" s="152">
        <v>0.30578689649014962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49924.201989999994</v>
      </c>
      <c r="E21" s="283">
        <v>49952.632819999999</v>
      </c>
      <c r="F21" s="283">
        <v>25.117177118478175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4.xml><?xml version="1.0" encoding="utf-8"?>
<LongProperties xmlns="http://schemas.microsoft.com/office/2006/metadata/longProperties"/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2025-03-24T15:45:33Z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