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Janeiro\"/>
    </mc:Choice>
  </mc:AlternateContent>
  <xr:revisionPtr revIDLastSave="0" documentId="13_ncr:1_{CBF2218F-525E-43D0-919F-43B026146CA4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" sheetId="13" r:id="rId11"/>
    <sheet name="Q10_SFA acumulado" sheetId="51" r:id="rId12"/>
    <sheet name="Q_11_12_13_14_Compromissos" sheetId="38" r:id="rId13"/>
    <sheet name="Pagamentos_Atraso " sheetId="53" r:id="rId14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Índice!$A$1:$D$18</definedName>
    <definedName name="_xlnm.Print_Area" localSheetId="13">'Pagamentos_Atraso '!$C$1:$C$67</definedName>
    <definedName name="_xlnm.Print_Area" localSheetId="12">Q_11_12_13_14_Compromissos!$C$1:$I$48</definedName>
    <definedName name="_xlnm.Print_Area" localSheetId="2">Q1_Consolidado!$C$1:$H$53</definedName>
    <definedName name="_xlnm.Print_Area" localSheetId="11">'Q10_SFA acumulado'!$C$1:$F$45</definedName>
    <definedName name="_xlnm.Print_Area" localSheetId="3">Q2_Global_Est!$C$1:$F$38</definedName>
    <definedName name="_xlnm.Print_Area" localSheetId="4">'Q3_ R_fiscal'!$C$1:$F$24</definedName>
    <definedName name="_xlnm.Print_Area" localSheetId="5">Q4_R_n_fiscal!$C$1:$F$25</definedName>
    <definedName name="_xlnm.Print_Area" localSheetId="6">'Q5_D_Est ECO'!$C$1:$H$39</definedName>
    <definedName name="_xlnm.Print_Area" localSheetId="7">Q6_D_Est_Func!$C$1:$F$22</definedName>
    <definedName name="_xlnm.Print_Area" localSheetId="8">Q7_D_Est_Org!$C$1:$M$45</definedName>
    <definedName name="_xlnm.Print_Area" localSheetId="9">'Q8_Saldo_Global EPR'!$C$1:$E$7</definedName>
    <definedName name="_xlnm.Print_Area" localSheetId="10">'Q9_SFA '!$C$1:$F$12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'!$Q:$Q</definedName>
    <definedName name="Z_0011D0C0_6BC7_4DE9_8F83_86F2D0A38DF4_.wvu.PrintArea" localSheetId="11" hidden="1">'Q10_SFA acumulado'!$C$1:$F$46</definedName>
    <definedName name="Z_0011D0C0_6BC7_4DE9_8F83_86F2D0A38DF4_.wvu.PrintArea" localSheetId="3" hidden="1">Q2_Global_Est!$B$1:$H$37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ECO'!$B$1:$H$40</definedName>
    <definedName name="Z_0011D0C0_6BC7_4DE9_8F83_86F2D0A38DF4_.wvu.PrintArea" localSheetId="7" hidden="1">Q6_D_Est_Func!$B$1:$F$22</definedName>
    <definedName name="Z_0011D0C0_6BC7_4DE9_8F83_86F2D0A38DF4_.wvu.PrintArea" localSheetId="8" hidden="1">Q7_D_Est_Org!$B$1:$AD$46</definedName>
    <definedName name="Z_0011D0C0_6BC7_4DE9_8F83_86F2D0A38DF4_.wvu.PrintArea" localSheetId="10" hidden="1">'Q9_SFA '!$C$1:$R$12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'!$Q:$Q</definedName>
    <definedName name="Z_2EA2D52B_13B2_48C6_A647_E974628AB287_.wvu.PrintArea" localSheetId="11" hidden="1">'Q10_SFA acumulado'!$C$1:$F$46</definedName>
    <definedName name="Z_2EA2D52B_13B2_48C6_A647_E974628AB287_.wvu.PrintArea" localSheetId="3" hidden="1">Q2_Global_Est!$B$1:$H$37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ECO'!$B$1:$H$40</definedName>
    <definedName name="Z_2EA2D52B_13B2_48C6_A647_E974628AB287_.wvu.PrintArea" localSheetId="7" hidden="1">Q6_D_Est_Func!$B$1:$F$22</definedName>
    <definedName name="Z_2EA2D52B_13B2_48C6_A647_E974628AB287_.wvu.PrintArea" localSheetId="8" hidden="1">Q7_D_Est_Org!$B$1:$AD$46</definedName>
    <definedName name="Z_2EA2D52B_13B2_48C6_A647_E974628AB287_.wvu.PrintArea" localSheetId="10" hidden="1">'Q9_SFA '!$C$1:$R$12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Q7_D_Est_Org!$N:$AB</definedName>
    <definedName name="Z_397AD331_8EE9_49A3_85C5_CAAF9519E963_.wvu.Cols" localSheetId="10" hidden="1">'Q9_SFA '!$Q:$Q</definedName>
    <definedName name="Z_397AD331_8EE9_49A3_85C5_CAAF9519E963_.wvu.PrintArea" localSheetId="11" hidden="1">'Q10_SFA acumulado'!$C$1:$F$46</definedName>
    <definedName name="Z_397AD331_8EE9_49A3_85C5_CAAF9519E963_.wvu.PrintArea" localSheetId="3" hidden="1">Q2_Global_Est!$B$1:$H$37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ECO'!$B$1:$H$40</definedName>
    <definedName name="Z_397AD331_8EE9_49A3_85C5_CAAF9519E963_.wvu.PrintArea" localSheetId="7" hidden="1">Q6_D_Est_Func!$B$1:$F$22</definedName>
    <definedName name="Z_397AD331_8EE9_49A3_85C5_CAAF9519E963_.wvu.PrintArea" localSheetId="8" hidden="1">Q7_D_Est_Org!$B$1:$AD$46</definedName>
    <definedName name="Z_397AD331_8EE9_49A3_85C5_CAAF9519E963_.wvu.PrintArea" localSheetId="10" hidden="1">'Q9_SFA '!$C$1:$R$12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'!$Q:$Q</definedName>
    <definedName name="Z_409D0809_DA86_4C14_803D_2162A19A44FF_.wvu.PrintArea" localSheetId="11" hidden="1">'Q10_SFA acumulado'!$C$1:$F$46</definedName>
    <definedName name="Z_409D0809_DA86_4C14_803D_2162A19A44FF_.wvu.PrintArea" localSheetId="3" hidden="1">Q2_Global_Est!$B$1:$H$37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ECO'!$B$1:$H$40</definedName>
    <definedName name="Z_409D0809_DA86_4C14_803D_2162A19A44FF_.wvu.PrintArea" localSheetId="7" hidden="1">Q6_D_Est_Func!$B$1:$F$22</definedName>
    <definedName name="Z_409D0809_DA86_4C14_803D_2162A19A44FF_.wvu.PrintArea" localSheetId="8" hidden="1">Q7_D_Est_Org!$B$1:$AD$46</definedName>
    <definedName name="Z_409D0809_DA86_4C14_803D_2162A19A44FF_.wvu.PrintArea" localSheetId="10" hidden="1">'Q9_SFA '!$C$1:$R$12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Q7_D_Est_Org!$N:$AB</definedName>
    <definedName name="Z_43AB44CB_B133_4B3C_9B24_AA3B4A5A58A7_.wvu.Cols" localSheetId="10" hidden="1">'Q9_SFA '!$Q:$Q</definedName>
    <definedName name="Z_43AB44CB_B133_4B3C_9B24_AA3B4A5A58A7_.wvu.PrintArea" localSheetId="11" hidden="1">'Q10_SFA acumulado'!$C$1:$F$46</definedName>
    <definedName name="Z_43AB44CB_B133_4B3C_9B24_AA3B4A5A58A7_.wvu.PrintArea" localSheetId="3" hidden="1">Q2_Global_Est!$B$1:$H$37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ECO'!$B$1:$H$40</definedName>
    <definedName name="Z_43AB44CB_B133_4B3C_9B24_AA3B4A5A58A7_.wvu.PrintArea" localSheetId="7" hidden="1">Q6_D_Est_Func!$B$1:$F$22</definedName>
    <definedName name="Z_43AB44CB_B133_4B3C_9B24_AA3B4A5A58A7_.wvu.PrintArea" localSheetId="8" hidden="1">Q7_D_Est_Org!$B$1:$AD$46</definedName>
    <definedName name="Z_43AB44CB_B133_4B3C_9B24_AA3B4A5A58A7_.wvu.PrintArea" localSheetId="10" hidden="1">'Q9_SFA '!$C$1:$R$12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Q7_D_Est_Org!$N:$AB</definedName>
    <definedName name="Z_60062E94_E9B0_4825_A812_182FE1DB6021_.wvu.Cols" localSheetId="10" hidden="1">'Q9_SFA '!$Q:$Q</definedName>
    <definedName name="Z_60062E94_E9B0_4825_A812_182FE1DB6021_.wvu.PrintArea" localSheetId="11" hidden="1">'Q10_SFA acumulado'!$C$1:$F$46</definedName>
    <definedName name="Z_60062E94_E9B0_4825_A812_182FE1DB6021_.wvu.PrintArea" localSheetId="3" hidden="1">Q2_Global_Est!$B$1:$H$37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ECO'!$B$1:$H$40</definedName>
    <definedName name="Z_60062E94_E9B0_4825_A812_182FE1DB6021_.wvu.PrintArea" localSheetId="7" hidden="1">Q6_D_Est_Func!$B$1:$F$22</definedName>
    <definedName name="Z_60062E94_E9B0_4825_A812_182FE1DB6021_.wvu.PrintArea" localSheetId="8" hidden="1">Q7_D_Est_Org!$B$1:$AD$46</definedName>
    <definedName name="Z_60062E94_E9B0_4825_A812_182FE1DB6021_.wvu.PrintArea" localSheetId="10" hidden="1">'Q9_SFA '!$C$1:$R$12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Q7_D_Est_Org!$N:$AB</definedName>
    <definedName name="Z_995CCCB8_BF97_4653_A7C0_86012B807DB5_.wvu.Cols" localSheetId="10" hidden="1">'Q9_SFA '!$Q:$Q</definedName>
    <definedName name="Z_995CCCB8_BF97_4653_A7C0_86012B807DB5_.wvu.PrintArea" localSheetId="11" hidden="1">'Q10_SFA acumulado'!$C$1:$F$46</definedName>
    <definedName name="Z_995CCCB8_BF97_4653_A7C0_86012B807DB5_.wvu.PrintArea" localSheetId="3" hidden="1">Q2_Global_Est!$B$1:$H$37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ECO'!$B$1:$H$40</definedName>
    <definedName name="Z_995CCCB8_BF97_4653_A7C0_86012B807DB5_.wvu.PrintArea" localSheetId="7" hidden="1">Q6_D_Est_Func!$B$1:$F$22</definedName>
    <definedName name="Z_995CCCB8_BF97_4653_A7C0_86012B807DB5_.wvu.PrintArea" localSheetId="8" hidden="1">Q7_D_Est_Org!$B$1:$AD$46</definedName>
    <definedName name="Z_995CCCB8_BF97_4653_A7C0_86012B807DB5_.wvu.PrintArea" localSheetId="10" hidden="1">'Q9_SFA '!$C$1:$R$12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Q7_D_Est_Org!$N:$AB</definedName>
    <definedName name="Z_9C8E7FE3_A7A1_4D36_A156_3751861446D4_.wvu.Cols" localSheetId="10" hidden="1">'Q9_SFA '!$Q:$Q</definedName>
    <definedName name="Z_9C8E7FE3_A7A1_4D36_A156_3751861446D4_.wvu.PrintArea" localSheetId="11" hidden="1">'Q10_SFA acumulado'!$C$1:$F$46</definedName>
    <definedName name="Z_9C8E7FE3_A7A1_4D36_A156_3751861446D4_.wvu.PrintArea" localSheetId="3" hidden="1">Q2_Global_Est!$B$1:$H$37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ECO'!$B$1:$H$40</definedName>
    <definedName name="Z_9C8E7FE3_A7A1_4D36_A156_3751861446D4_.wvu.PrintArea" localSheetId="7" hidden="1">Q6_D_Est_Func!$B$1:$F$22</definedName>
    <definedName name="Z_9C8E7FE3_A7A1_4D36_A156_3751861446D4_.wvu.PrintArea" localSheetId="8" hidden="1">Q7_D_Est_Org!$B$1:$AD$46</definedName>
    <definedName name="Z_9C8E7FE3_A7A1_4D36_A156_3751861446D4_.wvu.PrintArea" localSheetId="10" hidden="1">'Q9_SFA '!$C$1:$R$12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Q7_D_Est_Org!$N:$AB</definedName>
    <definedName name="Z_B22C7842_6BF9_4A1C_B06C_2AD9B9A784D4_.wvu.Cols" localSheetId="10" hidden="1">'Q9_SFA '!$Q:$Q</definedName>
    <definedName name="Z_B22C7842_6BF9_4A1C_B06C_2AD9B9A784D4_.wvu.PrintArea" localSheetId="11" hidden="1">'Q10_SFA acumulado'!$C$1:$F$46</definedName>
    <definedName name="Z_B22C7842_6BF9_4A1C_B06C_2AD9B9A784D4_.wvu.PrintArea" localSheetId="3" hidden="1">Q2_Global_Est!$B$1:$H$37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ECO'!$B$1:$H$40</definedName>
    <definedName name="Z_B22C7842_6BF9_4A1C_B06C_2AD9B9A784D4_.wvu.PrintArea" localSheetId="7" hidden="1">Q6_D_Est_Func!$B$1:$F$22</definedName>
    <definedName name="Z_B22C7842_6BF9_4A1C_B06C_2AD9B9A784D4_.wvu.PrintArea" localSheetId="8" hidden="1">Q7_D_Est_Org!$B$1:$AD$46</definedName>
    <definedName name="Z_B22C7842_6BF9_4A1C_B06C_2AD9B9A784D4_.wvu.PrintArea" localSheetId="10" hidden="1">'Q9_SFA '!$C$1:$R$12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Q2_Global_Est!$C$1:$F$37</definedName>
    <definedName name="Z_C2013F6E_CF9D_4172_87F3_B954A090B414_.wvu.PrintArea" localSheetId="6" hidden="1">'Q5_D_Est ECO'!$C$1:$H$39</definedName>
    <definedName name="Z_C2013F6E_CF9D_4172_87F3_B954A090B414_.wvu.PrintArea" localSheetId="7" hidden="1">Q6_D_Est_Func!$C$1:$F$22</definedName>
    <definedName name="Z_C2013F6E_CF9D_4172_87F3_B954A090B414_.wvu.PrintArea" localSheetId="8" hidden="1">Q7_D_Est_Org!$D$1:$M$46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Q7_D_Est_Org!$N:$AB</definedName>
    <definedName name="Z_DB1D3FDB_E0D5_4FD7_BD6E_EC28675EBF68_.wvu.Cols" localSheetId="10" hidden="1">'Q9_SFA '!$Q:$Q</definedName>
    <definedName name="Z_DB1D3FDB_E0D5_4FD7_BD6E_EC28675EBF68_.wvu.PrintArea" localSheetId="11" hidden="1">'Q10_SFA acumulado'!$C$1:$F$46</definedName>
    <definedName name="Z_DB1D3FDB_E0D5_4FD7_BD6E_EC28675EBF68_.wvu.PrintArea" localSheetId="3" hidden="1">Q2_Global_Est!$B$1:$H$37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ECO'!$B$1:$H$40</definedName>
    <definedName name="Z_DB1D3FDB_E0D5_4FD7_BD6E_EC28675EBF68_.wvu.PrintArea" localSheetId="7" hidden="1">Q6_D_Est_Func!$B$1:$F$22</definedName>
    <definedName name="Z_DB1D3FDB_E0D5_4FD7_BD6E_EC28675EBF68_.wvu.PrintArea" localSheetId="8" hidden="1">Q7_D_Est_Org!$B$1:$AD$46</definedName>
    <definedName name="Z_DB1D3FDB_E0D5_4FD7_BD6E_EC28675EBF68_.wvu.PrintArea" localSheetId="10" hidden="1">'Q9_SFA '!$C$1:$R$12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Q7_D_Est_Org!$N:$AB</definedName>
    <definedName name="Z_EBA68B69_6D6E_44F8_8C51_9491A55275C5_.wvu.Cols" localSheetId="10" hidden="1">'Q9_SFA '!$Q:$Q</definedName>
    <definedName name="Z_EBA68B69_6D6E_44F8_8C51_9491A55275C5_.wvu.PrintArea" localSheetId="11" hidden="1">'Q10_SFA acumulado'!$C$1:$F$46</definedName>
    <definedName name="Z_EBA68B69_6D6E_44F8_8C51_9491A55275C5_.wvu.PrintArea" localSheetId="3" hidden="1">Q2_Global_Est!$B$1:$H$37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ECO'!$B$1:$H$40</definedName>
    <definedName name="Z_EBA68B69_6D6E_44F8_8C51_9491A55275C5_.wvu.PrintArea" localSheetId="7" hidden="1">Q6_D_Est_Func!$B$1:$F$22</definedName>
    <definedName name="Z_EBA68B69_6D6E_44F8_8C51_9491A55275C5_.wvu.PrintArea" localSheetId="8" hidden="1">Q7_D_Est_Org!$B$1:$AD$46</definedName>
    <definedName name="Z_EBA68B69_6D6E_44F8_8C51_9491A55275C5_.wvu.PrintArea" localSheetId="10" hidden="1">'Q9_SFA '!$C$1:$R$12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38" l="1"/>
  <c r="C41" i="38"/>
  <c r="D33" i="38"/>
  <c r="C32" i="38"/>
  <c r="D24" i="38"/>
  <c r="C23" i="38"/>
  <c r="D3" i="38"/>
  <c r="C2" i="38"/>
  <c r="A13" i="54" s="1"/>
  <c r="C2" i="8"/>
  <c r="C2" i="9"/>
  <c r="C2" i="50"/>
  <c r="C2" i="10"/>
  <c r="C2" i="11"/>
  <c r="C2" i="12"/>
  <c r="C2" i="39"/>
  <c r="C2" i="13"/>
  <c r="C2" i="51"/>
  <c r="C2" i="32"/>
  <c r="L3" i="12"/>
  <c r="K3" i="12"/>
  <c r="J3" i="12" l="1"/>
  <c r="I3" i="12"/>
  <c r="H3" i="12"/>
  <c r="G3" i="12"/>
  <c r="E2" i="53" l="1"/>
  <c r="A16" i="54" l="1"/>
  <c r="A15" i="54"/>
  <c r="A14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7" i="54" l="1"/>
  <c r="A18" i="54"/>
  <c r="F3" i="12" l="1"/>
  <c r="A5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2" i="54" l="1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<sst xmlns="http://schemas.openxmlformats.org/spreadsheetml/2006/main" count="119" uniqueCount="101">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</sst>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2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0" fontId="70" fillId="0" borderId="123" xfId="0" applyFont="1" applyBorder="1" applyAlignment="1">
      <alignment vertical="center"/>
    </xf>
    <xf numFmtId="0" fontId="69" fillId="0" borderId="0" xfId="0" applyFont="1"/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S26" sqref="S26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QUADRO VIII - Saldo Global do Subsetor - EPR (janeiro)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8334.0977100000073</v>
      </c>
      <c r="E5" s="82">
        <v>10877.011939999997</v>
      </c>
    </row>
    <row r="6" spans="2:7">
      <c r="B6" s="29"/>
      <c r="C6" s="103"/>
      <c r="D6" s="103"/>
      <c r="E6" s="103"/>
    </row>
    <row r="7" spans="2:7">
      <c r="B7" s="29"/>
      <c r="C7" s="306" t="str">
        <f>+IF(Índice!$D$2=1,"Fonte: Secretaria Regional das Finanças","Source: Regional Finance Secretariat")</f>
        <v>Fonte: Secretaria Regional das Finanças</v>
      </c>
      <c r="D7" s="306" t="str">
        <f>+IF(Índice!$D$2="PT","Fonte: Vice-Presidência do Governo Regional","Source: Vice-Presidency of the Regional Government")</f>
        <v>Source: Vice-Presidency of the Regional Government</v>
      </c>
      <c r="E7" s="30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7" t="str">
        <f>+IF(Índice!$D$2=1,"QUADRO IX - Execução orçamental dos Serviços e Fundos Autónomos e EPR (janeiro)","TABLE IX - ASFs and RPEs budget execution (january)")</f>
        <v>QUADRO IX - Execução orçamental dos Serviços e Fundos Autónomos e EPR (janeiro)</v>
      </c>
      <c r="D2" s="308"/>
      <c r="E2" s="30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4398.3186600000117</v>
      </c>
      <c r="E4" s="98">
        <v>10877.011939999997</v>
      </c>
      <c r="F4" s="98">
        <v>15275.330600000008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33952.198579999997</v>
      </c>
      <c r="E7" s="74">
        <v>29710.28229000001</v>
      </c>
      <c r="F7" s="74">
        <v>63662.480870000007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4398.3554400000121</v>
      </c>
      <c r="E8" s="74">
        <v>10877.322309999996</v>
      </c>
      <c r="F8" s="74">
        <v>15275.677750000008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4353.5208300000086</v>
      </c>
      <c r="E9" s="74">
        <v>6307.9149199999956</v>
      </c>
      <c r="F9" s="74">
        <v>10661.435750000011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44.797830000000005</v>
      </c>
      <c r="E10" s="74">
        <v>4569.0970200000002</v>
      </c>
      <c r="F10" s="74">
        <v>4613.8948499999997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6" t="str">
        <f>+IF(Índice!$D$2=1,"Fonte: Secretaria Regional das Finanças","Source: Regional Finance Secretariat")</f>
        <v>Fonte: Secretaria Regional das Finanças</v>
      </c>
      <c r="D12" s="306" t="str">
        <f>+IF(Índice!$D$2="PT","Fonte: Vice-Presidência do Governo Regional","Source: Vice-Presidency of the Regional Government")</f>
        <v>Source: Vice-Presidency of the Regional Government</v>
      </c>
      <c r="E12" s="30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 - Execução orçamental dos Serviços e Fundos Autónomos e EPR (janeiro)","TABLE X - ASFs and RPEs budget execution (january)")</f>
        <v>QUADRO X - Execução orçamental dos Serviços e Fundos Autónomos e EPR (janeiro)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38304.150350000011</v>
      </c>
      <c r="E4" s="108">
        <v>35879.890940000005</v>
      </c>
      <c r="F4" s="108">
        <v>74184.041290000023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641.24248999999998</v>
      </c>
      <c r="E8" s="74">
        <v>1078.7050200000001</v>
      </c>
      <c r="F8" s="74">
        <v>1719.94751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37573.916840000013</v>
      </c>
      <c r="E9" s="74">
        <v>32617.039870000004</v>
      </c>
      <c r="F9" s="74">
        <v>70190.956710000013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5485.7252699999999</v>
      </c>
      <c r="E10" s="74">
        <v>22.49343</v>
      </c>
      <c r="F10" s="74">
        <v>5508.2187000000004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31929.44747000001</v>
      </c>
      <c r="E11" s="74">
        <v>32594.546440000006</v>
      </c>
      <c r="F11" s="74">
        <v>64523.993910000019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65.53013</v>
      </c>
      <c r="E12" s="74">
        <v>862.79228000000001</v>
      </c>
      <c r="F12" s="74">
        <v>928.32240999999999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23.460889999999999</v>
      </c>
      <c r="E13" s="74">
        <v>1321.3537699999999</v>
      </c>
      <c r="F13" s="74">
        <v>1344.81466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46.403670000000005</v>
      </c>
      <c r="E14" s="83">
        <v>4707.7136600000003</v>
      </c>
      <c r="F14" s="83">
        <v>4754.11733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0</v>
      </c>
      <c r="F15" s="34">
        <v>0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16.2987</v>
      </c>
      <c r="E16" s="34">
        <v>4707.7136600000003</v>
      </c>
      <c r="F16" s="74">
        <v>4724.0123600000006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16.2987</v>
      </c>
      <c r="E17" s="34">
        <v>1.65899</v>
      </c>
      <c r="F17" s="74">
        <v>17.957689999999999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0</v>
      </c>
      <c r="E18" s="74">
        <v>4706.0546700000004</v>
      </c>
      <c r="F18" s="74">
        <v>4706.0546700000004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0</v>
      </c>
      <c r="F19" s="74">
        <v>0</v>
      </c>
    </row>
    <row r="20" spans="2:6" ht="11.25" customHeight="1">
      <c r="C20" s="110" t="str">
        <f>+IF(Índice!$D$2=1,"Receita efetiva","Effective revenue")</f>
        <v>Receita efetiva</v>
      </c>
      <c r="D20" s="83">
        <v>38350.55402000001</v>
      </c>
      <c r="E20" s="83">
        <v>40587.604600000006</v>
      </c>
      <c r="F20" s="83">
        <v>78938.158620000017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33950.629520000002</v>
      </c>
      <c r="E22" s="83">
        <v>29571.976020000009</v>
      </c>
      <c r="F22" s="83">
        <v>63522.605540000011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3832.8206200000004</v>
      </c>
      <c r="E23" s="74">
        <v>16812.194940000005</v>
      </c>
      <c r="F23" s="74">
        <v>20645.015560000007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179.29042000000001</v>
      </c>
      <c r="E24" s="74">
        <v>11601.789770000005</v>
      </c>
      <c r="F24" s="74">
        <v>11781.080190000004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3.678E-2</v>
      </c>
      <c r="E25" s="74">
        <v>0.31036999999999998</v>
      </c>
      <c r="F25" s="74">
        <v>0.34714999999999996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29713.660240000001</v>
      </c>
      <c r="E26" s="74">
        <v>1091.4533800000002</v>
      </c>
      <c r="F26" s="74">
        <v>30805.11362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179.65969000000001</v>
      </c>
      <c r="E27" s="74">
        <v>0</v>
      </c>
      <c r="F27" s="59">
        <v>179.65969000000001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29534.000550000001</v>
      </c>
      <c r="E28" s="74">
        <v>1091.4533800000002</v>
      </c>
      <c r="F28" s="59">
        <v>30625.45393</v>
      </c>
    </row>
    <row r="29" spans="2:6" ht="11.25" customHeight="1">
      <c r="C29" s="104" t="str">
        <f>+IF(Índice!$D$2=1,"Subsídios","Subsidies")</f>
        <v>Subsídios</v>
      </c>
      <c r="D29" s="74">
        <v>223.28120000000001</v>
      </c>
      <c r="E29" s="74">
        <v>0</v>
      </c>
      <c r="F29" s="74">
        <v>223.28120000000001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1.54026</v>
      </c>
      <c r="E30" s="74">
        <v>66.227559999999997</v>
      </c>
      <c r="F30" s="74">
        <v>67.76782</v>
      </c>
    </row>
    <row r="31" spans="2:6" ht="11.25" customHeight="1">
      <c r="C31" s="110" t="str">
        <f>+IF(Índice!$D$2=1,"Despesa de capital","Capital expenditure")</f>
        <v>Despesa de capital</v>
      </c>
      <c r="D31" s="83">
        <v>1.6058400000000002</v>
      </c>
      <c r="E31" s="83">
        <v>138.61664000000002</v>
      </c>
      <c r="F31" s="83">
        <v>140.22248000000002</v>
      </c>
    </row>
    <row r="32" spans="2:6" ht="11.25" customHeight="1">
      <c r="C32" s="104" t="str">
        <f>+IF(Índice!$D$2=1,"Investimento","Investment")</f>
        <v>Investimento</v>
      </c>
      <c r="D32" s="74">
        <v>1.6058400000000002</v>
      </c>
      <c r="E32" s="74">
        <v>87.616640000000004</v>
      </c>
      <c r="F32" s="74">
        <v>89.222480000000004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0</v>
      </c>
      <c r="E33" s="74">
        <v>51</v>
      </c>
      <c r="F33" s="74">
        <v>51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33952.235359999999</v>
      </c>
      <c r="E36" s="83">
        <v>29710.592660000009</v>
      </c>
      <c r="F36" s="83">
        <v>63662.828020000008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393.60235999999998</v>
      </c>
      <c r="E38" s="35">
        <v>0</v>
      </c>
      <c r="F38" s="35">
        <v>393.60235999999998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4398.3186600000117</v>
      </c>
      <c r="E44" s="114">
        <v>10877.011939999997</v>
      </c>
      <c r="F44" s="114">
        <v>15275.330600000008</v>
      </c>
    </row>
    <row r="45" spans="3:6" ht="15" customHeight="1">
      <c r="C45" s="306" t="str">
        <f>+IF(Índice!$D$2=1,"Fonte: Secretaria Regional das Finanças","Source: Regional Finance Secretariat")</f>
        <v>Fonte: Secretaria Regional das Finanças</v>
      </c>
      <c r="D45" s="306" t="str">
        <f>+IF(Índice!$D$2="PT","Fonte: Vice-Presidência do Governo Regional","Source: Vice-Presidency of the Regional Government")</f>
        <v>Source: Vice-Presidency of the Regional Government</v>
      </c>
      <c r="E45" s="30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" zoomScale="120" zoomScaleNormal="120" zoomScaleSheetLayoutView="100" zoomScalePageLayoutView="150" workbookViewId="0">
      <selection activeCell="K23" sqref="K2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2025 (valores acumulados)","Table XI- Accounts payable of the Regional Administration, january (accumulated)")</f>
        <v>QUADRO XI - Contas a pagar, da Administração Regional, no final de janeiro de 2025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12" t="s">
        <v>7</v>
      </c>
      <c r="D3" s="309" t="str">
        <f>+IF(Índice!$D$2=1,"janeiro 2025","january 2025")</f>
        <v>janeiro 2025</v>
      </c>
      <c r="E3" s="309" t="str">
        <f>+IF(Índice!$D$2="PT","janeiro 2020","January")</f>
        <v>January</v>
      </c>
      <c r="F3" s="309" t="str">
        <f>+IF(Índice!$D$2="PT","janeiro 2020","January")</f>
        <v>January</v>
      </c>
      <c r="G3" s="316" t="str">
        <f>+IF(Índice!$D$2=1,"Variação face ao stock inicial de janeiro","Change from period initial stock")</f>
        <v>Variação face ao stock inicial de janeiro</v>
      </c>
      <c r="H3" s="317"/>
      <c r="I3" s="317"/>
    </row>
    <row r="4" spans="2:11" ht="12.75" customHeight="1">
      <c r="C4" s="312"/>
      <c r="D4" s="324" t="str">
        <f>+IF(Índice!$D$2=1,"Stock final do período","Accumulated")</f>
        <v>Stock final do período</v>
      </c>
      <c r="E4" s="324"/>
      <c r="F4" s="324"/>
      <c r="G4" s="321" t="str">
        <f>+IF(Índice!$D$2=1,"Passivo","Liabilities")</f>
        <v>Passivo</v>
      </c>
      <c r="H4" s="321" t="str">
        <f>+IF(Índice!$D$2=1,"Contas a pagar","Accounts payable")</f>
        <v>Contas a pagar</v>
      </c>
      <c r="I4" s="310" t="str">
        <f>+IF(Índice!$D$2=1,"Pagamentos em atraso","Late payments")</f>
        <v>Pagamentos em atraso</v>
      </c>
    </row>
    <row r="5" spans="2:11" ht="22.5">
      <c r="B5" s="29"/>
      <c r="C5" s="312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22"/>
      <c r="H5" s="322"/>
      <c r="I5" s="311"/>
    </row>
    <row r="6" spans="2:11">
      <c r="B6" s="29"/>
      <c r="C6" s="119" t="str">
        <f>+IF(Índice!$D$2=1,"Despesa corrente","Current expenditure")</f>
        <v>Despesa corrente</v>
      </c>
      <c r="D6" s="162">
        <v>153658512.78000003</v>
      </c>
      <c r="E6" s="162">
        <v>140847608.33000004</v>
      </c>
      <c r="F6" s="162">
        <v>51493601.359999985</v>
      </c>
      <c r="G6" s="91">
        <v>0.4572830531695844</v>
      </c>
      <c r="H6" s="91">
        <v>0.47278732218010688</v>
      </c>
      <c r="I6" s="116">
        <v>0.24956577647440437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12016285.049999999</v>
      </c>
      <c r="E7" s="165">
        <v>11132996.969999999</v>
      </c>
      <c r="F7" s="165">
        <v>537.24</v>
      </c>
      <c r="G7" s="95">
        <v>7.5926984433268689</v>
      </c>
      <c r="H7" s="95">
        <v>12.383511682229255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121279847.41000001</v>
      </c>
      <c r="E8" s="165">
        <v>121123878.72000001</v>
      </c>
      <c r="F8" s="165">
        <v>49841895.599999994</v>
      </c>
      <c r="G8" s="95">
        <v>0.35005114556870076</v>
      </c>
      <c r="H8" s="95">
        <v>0.35051506169356839</v>
      </c>
      <c r="I8" s="121">
        <v>0.25734732316094711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9132807.0599999987</v>
      </c>
      <c r="E9" s="165">
        <v>3853533.3099999996</v>
      </c>
      <c r="F9" s="165">
        <v>1485177.8499999999</v>
      </c>
      <c r="G9" s="95">
        <v>2.6515135894294328E-2</v>
      </c>
      <c r="H9" s="95">
        <v>6.5214458310747014E-2</v>
      </c>
      <c r="I9" s="121">
        <v>0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10398656.609999999</v>
      </c>
      <c r="E10" s="165">
        <v>3913440.8600000003</v>
      </c>
      <c r="F10" s="165">
        <v>165939.67000000001</v>
      </c>
      <c r="G10" s="95">
        <v>1.2523601746342679</v>
      </c>
      <c r="H10" s="95">
        <v>3.8481432420959729</v>
      </c>
      <c r="I10" s="121">
        <v>1.0023439561708551</v>
      </c>
    </row>
    <row r="11" spans="2:11">
      <c r="B11" s="29"/>
      <c r="C11" s="120" t="str">
        <f>+IF(Índice!$D$2=1,"Subsídios","Subsidies")</f>
        <v>Subsídios</v>
      </c>
      <c r="D11" s="165">
        <v>687675.80999999994</v>
      </c>
      <c r="E11" s="165">
        <v>687675.80999999994</v>
      </c>
      <c r="F11" s="165">
        <v>0</v>
      </c>
      <c r="G11" s="95">
        <v>0</v>
      </c>
      <c r="H11" s="95">
        <v>0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143240.84000000003</v>
      </c>
      <c r="E12" s="165">
        <v>136082.66</v>
      </c>
      <c r="F12" s="165">
        <v>51</v>
      </c>
      <c r="G12" s="95">
        <v>15.925999406813609</v>
      </c>
      <c r="H12" s="95">
        <v>72.350829816249203</v>
      </c>
      <c r="I12" s="121">
        <v>0</v>
      </c>
    </row>
    <row r="13" spans="2:11">
      <c r="B13" s="29"/>
      <c r="C13" s="115" t="str">
        <f>+IF(Índice!$D$2=1,"Despesa de capital","Capital expenditure")</f>
        <v>Despesa de capital</v>
      </c>
      <c r="D13" s="163">
        <v>40053774</v>
      </c>
      <c r="E13" s="163">
        <v>25128840.699999996</v>
      </c>
      <c r="F13" s="163">
        <v>1606890.5699999996</v>
      </c>
      <c r="G13" s="92">
        <v>-3.7711873226743409E-3</v>
      </c>
      <c r="H13" s="92">
        <v>-5.9975990676862656E-3</v>
      </c>
      <c r="I13" s="117">
        <v>10.311172976013889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22958397.600000001</v>
      </c>
      <c r="E14" s="165">
        <v>14012970.389999999</v>
      </c>
      <c r="F14" s="165">
        <v>1606890.5699999996</v>
      </c>
      <c r="G14" s="95">
        <v>-8.4942298362878921E-3</v>
      </c>
      <c r="H14" s="95">
        <v>-1.3841616160056969E-2</v>
      </c>
      <c r="I14" s="121">
        <v>10.311172976013889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17095376.399999999</v>
      </c>
      <c r="E15" s="165">
        <v>11115870.310000001</v>
      </c>
      <c r="F15" s="165">
        <v>0</v>
      </c>
      <c r="G15" s="95">
        <v>2.6429138073773562E-3</v>
      </c>
      <c r="H15" s="95">
        <v>4.0703904190262374E-3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193712286.78000003</v>
      </c>
      <c r="E17" s="164">
        <v>165976449.03000003</v>
      </c>
      <c r="F17" s="164">
        <v>53100491.929999985</v>
      </c>
      <c r="G17" s="147">
        <v>0.33001063084494819</v>
      </c>
      <c r="H17" s="147">
        <v>0.3726837645440193</v>
      </c>
      <c r="I17" s="148">
        <v>0.2841324258964455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136430056.90000001</v>
      </c>
      <c r="E19" s="164">
        <v>108706703.09000002</v>
      </c>
      <c r="F19" s="164">
        <v>9563935.3699999955</v>
      </c>
      <c r="G19" s="147">
        <v>0.54477006351144275</v>
      </c>
      <c r="H19" s="147">
        <v>0.70931819459335732</v>
      </c>
      <c r="I19" s="148">
        <v>0.64128565368806045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2025 (valores acumulados)","Table XII - Accounts payable of the Regional Gov., january (accumulated)")</f>
        <v>QUADRO XII - Contas a pagar, do Governo Regional, no final de janeiro de 2025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12" t="str">
        <f>+IF(Índice!$D$2=1,"Governo Regional","Regional Government")</f>
        <v>Governo Regional</v>
      </c>
      <c r="D24" s="309" t="str">
        <f>+IF(Índice!$D$2=1,"janeiro 2025","january 2025")</f>
        <v>janeiro 2025</v>
      </c>
      <c r="E24" s="309" t="str">
        <f>+IF(Índice!$D$2="PT","janeiro 2020","January")</f>
        <v>January</v>
      </c>
      <c r="F24" s="309" t="str">
        <f>+IF(Índice!$D$2="PT","janeiro 2020","January")</f>
        <v>January</v>
      </c>
      <c r="G24" s="316" t="str">
        <f>+IF(Índice!$D$2=1,"Variação face ao stock inicial de janeiro","Change from january initial stock")</f>
        <v>Variação face ao stock inicial de janeiro</v>
      </c>
      <c r="H24" s="317"/>
      <c r="I24" s="317"/>
    </row>
    <row r="25" spans="2:9" ht="22.5" customHeight="1">
      <c r="B25" s="29"/>
      <c r="C25" s="312"/>
      <c r="D25" s="324" t="str">
        <f>+IF(Índice!$D$2=1,"Stock final do período","Accumulated")</f>
        <v>Stock final do período</v>
      </c>
      <c r="E25" s="324"/>
      <c r="F25" s="324"/>
      <c r="G25" s="321" t="str">
        <f>+IF(Índice!$D$2=1,"Passivo","Liabilities")</f>
        <v>Passivo</v>
      </c>
      <c r="H25" s="321" t="str">
        <f>+IF(Índice!$D$2=1,"Contas a pagar","Accounts payable")</f>
        <v>Contas a pagar</v>
      </c>
      <c r="I25" s="310" t="str">
        <f>+IF(Índice!$D$2=1,"Pagamentos em atraso","Late payments")</f>
        <v>Pagamentos em atraso</v>
      </c>
    </row>
    <row r="26" spans="2:9" ht="22.5">
      <c r="B26" s="29"/>
      <c r="C26" s="312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22"/>
      <c r="H26" s="322"/>
      <c r="I26" s="311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46194107.850000001</v>
      </c>
      <c r="E27" s="162">
        <v>39281796.74000001</v>
      </c>
      <c r="F27" s="162">
        <v>1131077.95</v>
      </c>
      <c r="G27" s="91">
        <v>5.317134893829941</v>
      </c>
      <c r="H27" s="91">
        <v>10.966447500197951</v>
      </c>
      <c r="I27" s="116">
        <v>7.9217924156417485E-2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27281431.200000003</v>
      </c>
      <c r="E28" s="163">
        <v>21073632.899999999</v>
      </c>
      <c r="F28" s="163">
        <v>630</v>
      </c>
      <c r="G28" s="92">
        <v>7.6067630930027885E-3</v>
      </c>
      <c r="H28" s="172">
        <v>9.8696528651998072E-3</v>
      </c>
      <c r="I28" s="117">
        <v>0</v>
      </c>
    </row>
    <row r="29" spans="2:9" ht="20.100000000000001" customHeight="1">
      <c r="B29" s="29"/>
      <c r="C29" s="146" t="s">
        <v>7</v>
      </c>
      <c r="D29" s="164">
        <v>73475539.050000012</v>
      </c>
      <c r="E29" s="164">
        <v>60355429.640000008</v>
      </c>
      <c r="F29" s="164">
        <v>1131707.95</v>
      </c>
      <c r="G29" s="147">
        <v>1.1366631860700531</v>
      </c>
      <c r="H29" s="147">
        <v>1.4991546863545517</v>
      </c>
      <c r="I29" s="148">
        <v>7.9170333725336217E-2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2025 (valores acumulados)","Table XIII - Accounts payable of the ASFs, january (accumulated)")</f>
        <v>QUADRO XIII - Contas a pagar, dos Serviços e Fundos Autónomos, no final de janeiro de 2025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13" t="str">
        <f>+IF(Índice!$D$2=1,"Serviços e Fundos Autónomos","Autonomous Services and Funds")</f>
        <v>Serviços e Fundos Autónomos</v>
      </c>
      <c r="D33" s="309" t="str">
        <f>+IF(Índice!$D$2=1,"janeiro 2025","january 2025")</f>
        <v>janeiro 2025</v>
      </c>
      <c r="E33" s="309" t="str">
        <f>+IF(Índice!$D$2="PT","janeiro 2020","January")</f>
        <v>January</v>
      </c>
      <c r="F33" s="309" t="str">
        <f>+IF(Índice!$D$2="PT","janeiro 2020","January")</f>
        <v>January</v>
      </c>
      <c r="G33" s="316" t="str">
        <f>+IF(Índice!$D$2=1,"Variação face ao stock inicial de janeiro","Change from january initial stock")</f>
        <v>Variação face ao stock inicial de janeiro</v>
      </c>
      <c r="H33" s="317"/>
      <c r="I33" s="317"/>
    </row>
    <row r="34" spans="2:9" ht="12.75" customHeight="1">
      <c r="C34" s="314"/>
      <c r="D34" s="318" t="str">
        <f>+IF(Índice!$D$2=1,"Stock final do período","Accumulated")</f>
        <v>Stock final do período</v>
      </c>
      <c r="E34" s="319"/>
      <c r="F34" s="320"/>
      <c r="G34" s="323" t="str">
        <f>+IF(Índice!$D$2=1,"Passivo","Liabilities")</f>
        <v>Passivo</v>
      </c>
      <c r="H34" s="323" t="str">
        <f>+IF(Índice!$D$2=1,"Contas a pagar","Accounts payable")</f>
        <v>Contas a pagar</v>
      </c>
      <c r="I34" s="310" t="str">
        <f>+IF(Índice!$D$2=1,"Pagamentos em atraso","Late payments")</f>
        <v>Pagamentos em atraso</v>
      </c>
    </row>
    <row r="35" spans="2:9" ht="22.5">
      <c r="C35" s="315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22"/>
      <c r="H35" s="322"/>
      <c r="I35" s="311"/>
    </row>
    <row r="36" spans="2:9" ht="20.100000000000001" customHeight="1">
      <c r="C36" s="115" t="str">
        <f>+IF(Índice!$D$2=1,"Despesa corrente","Current expenditure")</f>
        <v>Despesa corrente</v>
      </c>
      <c r="D36" s="162">
        <v>48536832.460000016</v>
      </c>
      <c r="E36" s="162">
        <v>46932575.400000021</v>
      </c>
      <c r="F36" s="162">
        <v>8432227.4199999999</v>
      </c>
      <c r="G36" s="91">
        <v>0.23954992712040801</v>
      </c>
      <c r="H36" s="91">
        <v>0.24655268775242778</v>
      </c>
      <c r="I36" s="116">
        <v>0.76464889990230023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318942.49000000005</v>
      </c>
      <c r="E37" s="163">
        <v>318942.49000000005</v>
      </c>
      <c r="F37" s="163">
        <v>0</v>
      </c>
      <c r="G37" s="92">
        <v>1.1564515931647228</v>
      </c>
      <c r="H37" s="92">
        <v>1.1564515931647228</v>
      </c>
      <c r="I37" s="117">
        <v>0</v>
      </c>
    </row>
    <row r="38" spans="2:9" ht="20.100000000000001" customHeight="1">
      <c r="C38" s="146" t="s">
        <v>7</v>
      </c>
      <c r="D38" s="164">
        <v>48855774.950000018</v>
      </c>
      <c r="E38" s="164">
        <v>47251517.890000023</v>
      </c>
      <c r="F38" s="164">
        <v>8432227.4199999999</v>
      </c>
      <c r="G38" s="147">
        <v>0.24300017829995602</v>
      </c>
      <c r="H38" s="147">
        <v>0.25011309231253409</v>
      </c>
      <c r="I38" s="148">
        <v>0.76464889990230023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Reclassseicadas, no final de janeiro de 2025 (valores acumulados)","Table XIV - Accounts payable of the RPEs, january (accumulated)")</f>
        <v>QUADRO XIV - Contas a pagar, das Entidades Públicas Reclassseicadas, no final de janeiro de 2025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13" t="str">
        <f>+IF(Índice!$D$2=1,"Entidades Públicas Reclassseicadas","Reclassseied Public Entities")</f>
        <v>Entidades Públicas Reclassseicadas</v>
      </c>
      <c r="D42" s="309" t="str">
        <f>+IF(Índice!$D$2=1,"janeiro 2025","january 2025")</f>
        <v>janeiro 2025</v>
      </c>
      <c r="E42" s="309" t="str">
        <f>+IF(Índice!$D$2="PT","janeiro 2020","January")</f>
        <v>January</v>
      </c>
      <c r="F42" s="309" t="str">
        <f>+IF(Índice!$D$2="PT","janeiro 2020","January")</f>
        <v>January</v>
      </c>
      <c r="G42" s="316" t="str">
        <f>+IF(Índice!$D$2=1,"Variação face ao stock inicial de janeiro","Change from january initial stock")</f>
        <v>Variação face ao stock inicial de janeiro</v>
      </c>
      <c r="H42" s="317"/>
      <c r="I42" s="317"/>
    </row>
    <row r="43" spans="2:9" ht="12.75" customHeight="1">
      <c r="C43" s="314"/>
      <c r="D43" s="318" t="str">
        <f>+IF(Índice!$D$2=1,"Stock final do período","Accumulated")</f>
        <v>Stock final do período</v>
      </c>
      <c r="E43" s="319"/>
      <c r="F43" s="320"/>
      <c r="G43" s="321" t="str">
        <f>+IF(Índice!$D$2=1,"Passivo","Liabilities")</f>
        <v>Passivo</v>
      </c>
      <c r="H43" s="321" t="str">
        <f>+IF(Índice!$D$2=1,"Contas a pagar","Accounts payable")</f>
        <v>Contas a pagar</v>
      </c>
      <c r="I43" s="310" t="str">
        <f>+IF(Índice!$D$2=1,"Pagamentos em atraso","Late payments")</f>
        <v>Pagamentos em atraso</v>
      </c>
    </row>
    <row r="44" spans="2:9" ht="22.5">
      <c r="C44" s="315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22"/>
      <c r="H44" s="322"/>
      <c r="I44" s="311"/>
    </row>
    <row r="45" spans="2:9" ht="20.100000000000001" customHeight="1">
      <c r="C45" s="115" t="str">
        <f>+IF(Índice!$D$2=1,"Despesa corrente","Current expenditure")</f>
        <v>Despesa corrente</v>
      </c>
      <c r="D45" s="162">
        <v>58927572.470000006</v>
      </c>
      <c r="E45" s="162">
        <v>54633236.190000005</v>
      </c>
      <c r="F45" s="162">
        <v>41930295.989999987</v>
      </c>
      <c r="G45" s="91">
        <v>-7.6094196903697675E-4</v>
      </c>
      <c r="H45" s="91">
        <v>-1.2353518867226354E-3</v>
      </c>
      <c r="I45" s="116">
        <v>0.18504988724519267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12453400.309999999</v>
      </c>
      <c r="E46" s="163">
        <v>3736265.3099999991</v>
      </c>
      <c r="F46" s="163">
        <v>1606260.5699999996</v>
      </c>
      <c r="G46" s="92">
        <v>-4.0719376271924235E-2</v>
      </c>
      <c r="H46" s="92">
        <v>-0.12394701177727196</v>
      </c>
      <c r="I46" s="117">
        <v>10.357103373318555</v>
      </c>
    </row>
    <row r="47" spans="2:9" ht="20.100000000000001" customHeight="1">
      <c r="C47" s="146" t="s">
        <v>7</v>
      </c>
      <c r="D47" s="164">
        <v>71380972.780000001</v>
      </c>
      <c r="E47" s="164">
        <v>58369501.500000007</v>
      </c>
      <c r="F47" s="164">
        <v>43536556.559999987</v>
      </c>
      <c r="G47" s="147">
        <v>-7.9702399686242265E-3</v>
      </c>
      <c r="H47" s="147">
        <v>-1.0110870393166826E-2</v>
      </c>
      <c r="I47" s="148">
        <v>0.22554785716165227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2" zoomScale="85" zoomScaleNormal="85" workbookViewId="0">
      <selection activeCell="B2" sqref="B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63</v>
      </c>
      <c r="D10" s="170"/>
      <c r="E10" s="169"/>
    </row>
    <row r="11" spans="2:5">
      <c r="B11" s="195"/>
      <c r="C11" s="170" t="s">
        <v>77</v>
      </c>
      <c r="D11" s="170"/>
      <c r="E11" s="169"/>
    </row>
    <row r="12" spans="2:5">
      <c r="B12" s="195"/>
      <c r="C12" s="170" t="s">
        <v>64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53</v>
      </c>
      <c r="D16" s="170"/>
      <c r="E16" s="169"/>
    </row>
    <row r="17" spans="2:5">
      <c r="B17" s="195"/>
      <c r="C17" s="170" t="s">
        <v>67</v>
      </c>
      <c r="D17" s="171"/>
      <c r="E17" s="169"/>
    </row>
    <row r="18" spans="2:5">
      <c r="B18" s="195"/>
      <c r="C18" s="170" t="s">
        <v>85</v>
      </c>
      <c r="D18" s="170"/>
      <c r="E18" s="169"/>
    </row>
    <row r="19" spans="2:5">
      <c r="B19" s="195"/>
      <c r="C19" s="170" t="s">
        <v>82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86</v>
      </c>
      <c r="D21" s="170"/>
      <c r="E21" s="169"/>
    </row>
    <row r="22" spans="2:5">
      <c r="B22" s="195"/>
      <c r="C22" s="170" t="s">
        <v>54</v>
      </c>
      <c r="D22" s="170"/>
      <c r="E22" s="169"/>
    </row>
    <row r="23" spans="2:5">
      <c r="B23" s="195"/>
      <c r="C23" s="170" t="s">
        <v>68</v>
      </c>
      <c r="D23" s="170"/>
      <c r="E23" s="169"/>
    </row>
    <row r="24" spans="2:5">
      <c r="B24" s="195"/>
      <c r="C24" s="170" t="s">
        <v>69</v>
      </c>
      <c r="D24" s="170"/>
      <c r="E24" s="169"/>
    </row>
    <row r="25" spans="2:5">
      <c r="B25" s="195"/>
      <c r="C25" s="170" t="s">
        <v>87</v>
      </c>
      <c r="D25" s="170"/>
      <c r="E25" s="169"/>
    </row>
    <row r="26" spans="2:5">
      <c r="B26" s="195"/>
      <c r="C26" s="170" t="s">
        <v>70</v>
      </c>
      <c r="D26" s="170"/>
      <c r="E26" s="169"/>
    </row>
    <row r="27" spans="2:5">
      <c r="B27" s="195"/>
      <c r="C27" s="170" t="s">
        <v>71</v>
      </c>
      <c r="D27" s="170"/>
      <c r="E27" s="169"/>
    </row>
    <row r="28" spans="2:5">
      <c r="B28" s="195"/>
      <c r="C28" s="170" t="s">
        <v>55</v>
      </c>
      <c r="D28" s="170"/>
      <c r="E28" s="169"/>
    </row>
    <row r="29" spans="2:5">
      <c r="B29" s="55"/>
      <c r="C29" s="170" t="s">
        <v>83</v>
      </c>
      <c r="D29" s="170"/>
      <c r="E29" s="169"/>
    </row>
    <row r="30" spans="2:5">
      <c r="B30" s="55"/>
      <c r="C30" s="170" t="s">
        <v>56</v>
      </c>
      <c r="D30" s="170"/>
      <c r="E30" s="169"/>
    </row>
    <row r="31" spans="2:5">
      <c r="B31" s="55"/>
      <c r="C31" s="170" t="s">
        <v>72</v>
      </c>
      <c r="D31" s="170"/>
      <c r="E31" s="169"/>
    </row>
    <row r="32" spans="2:5">
      <c r="B32" s="55"/>
      <c r="C32" s="170" t="s">
        <v>97</v>
      </c>
      <c r="D32" s="170"/>
      <c r="E32" s="169"/>
    </row>
    <row r="33" spans="2:5">
      <c r="B33" s="55"/>
      <c r="C33" s="170" t="s">
        <v>73</v>
      </c>
      <c r="D33" s="170"/>
      <c r="E33" s="169"/>
    </row>
    <row r="34" spans="2:5">
      <c r="B34" s="55"/>
      <c r="C34" s="170" t="s">
        <v>57</v>
      </c>
      <c r="D34" s="170"/>
      <c r="E34" s="169"/>
    </row>
    <row r="35" spans="2:5">
      <c r="B35" s="55"/>
      <c r="C35" s="170" t="s">
        <v>74</v>
      </c>
      <c r="D35" s="170"/>
      <c r="E35" s="169"/>
    </row>
    <row r="36" spans="2:5">
      <c r="B36" s="55"/>
      <c r="C36" s="170" t="s">
        <v>58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59</v>
      </c>
      <c r="D38" s="170"/>
      <c r="E38" s="169"/>
    </row>
    <row r="39" spans="2:5">
      <c r="B39" s="55"/>
      <c r="C39" s="170" t="s">
        <v>60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61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50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92</v>
      </c>
      <c r="D47" s="170"/>
      <c r="E47" s="169"/>
    </row>
    <row r="48" spans="2:5">
      <c r="B48" s="55"/>
      <c r="C48" s="170" t="s">
        <v>84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89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75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88</v>
      </c>
    </row>
    <row r="57" spans="2:5">
      <c r="B57" s="55"/>
      <c r="C57" s="171" t="s">
        <v>90</v>
      </c>
    </row>
    <row r="58" spans="2:5">
      <c r="B58" s="55"/>
      <c r="C58" s="170" t="s">
        <v>93</v>
      </c>
    </row>
    <row r="59" spans="2:5">
      <c r="B59" s="55"/>
      <c r="C59" s="170" t="s">
        <v>94</v>
      </c>
    </row>
    <row r="60" spans="2:5">
      <c r="B60" s="55"/>
      <c r="C60" s="170" t="s">
        <v>52</v>
      </c>
    </row>
    <row r="61" spans="2:5">
      <c r="B61" s="55"/>
      <c r="C61" s="170" t="s">
        <v>51</v>
      </c>
    </row>
    <row r="62" spans="2:5">
      <c r="B62" s="55"/>
      <c r="C62" s="170" t="s">
        <v>98</v>
      </c>
    </row>
    <row r="63" spans="2:5">
      <c r="B63" s="55"/>
      <c r="C63" s="171" t="s">
        <v>33</v>
      </c>
    </row>
    <row r="64" spans="2:5">
      <c r="B64" s="55"/>
      <c r="C64" s="170" t="s">
        <v>76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0" t="s">
        <v>36</v>
      </c>
    </row>
    <row r="68" spans="2:3">
      <c r="B68" s="55"/>
      <c r="C68" s="171" t="s">
        <v>91</v>
      </c>
    </row>
    <row r="69" spans="2:3">
      <c r="B69" s="55"/>
      <c r="C69" s="170" t="s">
        <v>78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292"/>
    </row>
    <row r="81" spans="2:3" hidden="1">
      <c r="B81" s="55"/>
      <c r="C81" s="292"/>
    </row>
    <row r="82" spans="2:3">
      <c r="B82" s="55"/>
      <c r="C82" s="292"/>
    </row>
    <row r="83" spans="2:3">
      <c r="B83" s="55"/>
      <c r="C83" s="275"/>
    </row>
    <row r="84" spans="2:3" ht="30.75" customHeight="1">
      <c r="B84" s="16"/>
      <c r="C84" s="29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96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81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62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90</v>
      </c>
    </row>
    <row r="100" spans="2:3">
      <c r="B100" s="55"/>
      <c r="C100" s="170" t="s">
        <v>79</v>
      </c>
    </row>
    <row r="101" spans="2:3">
      <c r="B101" s="55"/>
      <c r="C101" s="170" t="s">
        <v>95</v>
      </c>
    </row>
    <row r="102" spans="2:3">
      <c r="B102" s="55"/>
      <c r="C102" s="170" t="s">
        <v>80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99</v>
      </c>
    </row>
    <row r="110" spans="2:3">
      <c r="B110" s="55"/>
      <c r="C110" s="171" t="s">
        <v>91</v>
      </c>
    </row>
    <row r="111" spans="2:3">
      <c r="B111" s="55"/>
      <c r="C111" s="170" t="s">
        <v>44</v>
      </c>
    </row>
    <row r="112" spans="2:3">
      <c r="B112" s="55"/>
      <c r="C112" s="290"/>
    </row>
    <row r="113" spans="3:3">
      <c r="C113" s="293"/>
    </row>
    <row r="114" spans="3:3">
      <c r="C114" s="294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zoomScale="130" zoomScaleNormal="130" workbookViewId="0">
      <selection activeCell="A13" sqref="A13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69" t="str">
        <f>+Q1_Consolidado!C2</f>
        <v>QUADRO I - Execução orçamental consolidada (janeiro)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69" t="str">
        <f>+Q2_Global_Est!C2</f>
        <v>QUADRO II - Execução orçamental do Gov. Regional (janeiro)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QUADRO III - Execução orçamental da receita fiscal do Gov. Reg. (janeiro)</v>
      </c>
      <c r="B5" s="217"/>
      <c r="C5" s="217"/>
      <c r="D5" s="217"/>
    </row>
    <row r="6" spans="1:25" s="179" customFormat="1" ht="20.100000000000001" customHeight="1">
      <c r="A6" s="269" t="str">
        <f>+Q4_R_n_fiscal!C2</f>
        <v>QUADROI V - Execução orçamental da receita não fiscal do Gov. Reg. (janeiro)</v>
      </c>
      <c r="B6" s="217"/>
      <c r="C6" s="217"/>
      <c r="D6" s="217"/>
    </row>
    <row r="7" spans="1:25" s="179" customFormat="1" ht="20.100000000000001" customHeight="1">
      <c r="A7" s="269" t="str">
        <f>+'Q5_D_Est ECO'!C2</f>
        <v>QUADRO V - Execução orçamental das despesas do Governo Regional (janeiro)</v>
      </c>
      <c r="B7"/>
      <c r="C7"/>
      <c r="D7"/>
    </row>
    <row r="8" spans="1:25" s="179" customFormat="1" ht="20.100000000000001" customHeight="1">
      <c r="A8" s="269" t="str">
        <f>+Q6_D_Est_Func!C2</f>
        <v>QUADRO VI - Despesa do Governo Regional, por classificação funcional (janeiro)</v>
      </c>
      <c r="B8" s="217"/>
      <c r="C8" s="217"/>
      <c r="D8" s="217"/>
    </row>
    <row r="9" spans="1:25" s="179" customFormat="1" ht="20.100000000000001" customHeight="1">
      <c r="A9" s="269" t="str">
        <f>+Q7_D_Est_Org!C2</f>
        <v>QUADRO VII - Execução orçamental por classificação cruzada orgânica e económica (janeiro)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QUADRO VIII - Saldo Global do Subsetor - EPR (janeiro)</v>
      </c>
      <c r="B10" s="217"/>
      <c r="C10" s="217"/>
      <c r="D10" s="217"/>
    </row>
    <row r="11" spans="1:25" s="179" customFormat="1" ht="20.100000000000001" customHeight="1">
      <c r="A11" s="284" t="str">
        <f>+'Q9_SFA '!C2</f>
        <v>QUADRO IX - Execução orçamental dos Serviços e Fundos Autónomos e EPR (janeiro)</v>
      </c>
      <c r="B11" s="285"/>
      <c r="C11" s="285"/>
      <c r="D11" s="217"/>
    </row>
    <row r="12" spans="1:25" s="179" customFormat="1" ht="20.100000000000001" customHeight="1">
      <c r="A12" s="269" t="str">
        <f>+'Q10_SFA acumulado'!C2</f>
        <v>QUADRO X - Execução orçamental dos Serviços e Fundos Autónomos e EPR (janeiro)</v>
      </c>
      <c r="B12" s="217"/>
      <c r="C12" s="217"/>
      <c r="D12" s="217"/>
    </row>
    <row r="13" spans="1:25" s="179" customFormat="1" ht="20.100000000000001" customHeight="1">
      <c r="A13" s="284" t="str">
        <f>+Q_11_12_13_14_Compromissos!C2</f>
        <v>QUADRO XI - Contas a pagar, da Administração Regional, no final de janeiro de 2025 (valores acumulados)</v>
      </c>
      <c r="B13" s="285"/>
      <c r="C13" s="285"/>
      <c r="D13" s="285"/>
    </row>
    <row r="14" spans="1:25" s="179" customFormat="1" ht="20.100000000000001" customHeight="1">
      <c r="A14" s="284" t="str">
        <f>+Q_11_12_13_14_Compromissos!C23</f>
        <v>QUADRO XII - Contas a pagar, do Governo Regional, no final de janeiro de 2025 (valores acumulados)</v>
      </c>
      <c r="B14" s="285"/>
      <c r="C14" s="285"/>
      <c r="D14" s="285"/>
    </row>
    <row r="15" spans="1:25" s="179" customFormat="1" ht="20.100000000000001" customHeight="1">
      <c r="A15" s="284" t="str">
        <f>+Q_11_12_13_14_Compromissos!C32</f>
        <v>QUADRO XIII - Contas a pagar, dos Serviços e Fundos Autónomos, no final de janeiro de 2025 (valores acumulados)</v>
      </c>
      <c r="B15" s="285"/>
      <c r="C15" s="285"/>
      <c r="D15" s="285"/>
    </row>
    <row r="16" spans="1:25" s="169" customFormat="1" ht="20.100000000000001" customHeight="1">
      <c r="A16" s="269" t="str">
        <f>+Q_11_12_13_14_Compromissos!C41</f>
        <v>QUADRO XIV - Contas a pagar, das Entidades Públicas Reclassseicadas, no final de janeiro de 2025 (valores acumulados)</v>
      </c>
      <c r="B16" s="217"/>
      <c r="C16" s="217"/>
      <c r="D16" s="217"/>
    </row>
    <row r="17" spans="1:4" s="179" customFormat="1" ht="20.100000000000001" customHeight="1">
      <c r="A17" s="269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'!C84</f>
        <v>Lista de entidades que cumprem com o estabelecido no art.º 7.º da LCPA (SFA/EPR)</v>
      </c>
      <c r="B18" s="217"/>
      <c r="C18" s="217"/>
      <c r="D18" s="217"/>
    </row>
    <row r="19" spans="1:4">
      <c r="A19" s="169"/>
      <c r="B19" s="285"/>
      <c r="C19" s="285"/>
      <c r="D19" s="285"/>
    </row>
    <row r="20" spans="1:4">
      <c r="A20" s="295"/>
      <c r="B20" s="295"/>
      <c r="C20" s="295"/>
      <c r="D20" s="295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1_Consolidado!B2" xr:uid="{37A4E4D4-EBC2-4A10-ADC2-D3433B00C6FA}"/>
    <hyperlink ref="A4" location="Q2_Global_Est!B2" display="Q2_Global_Est!B2" xr:uid="{50E1F8FB-8CDA-48FB-B228-5FAECFBE76AF}"/>
    <hyperlink ref="A5" location="'Q3_ R_fiscal'!A1" display="'Q3_ R_fiscal'!A1" xr:uid="{8C3F32CF-CB5D-4C4B-91F0-3DBF99E72AFF}"/>
    <hyperlink ref="A6" location="Q4_R_n_fiscal!B2" display="Q4_R_n_fiscal!B2" xr:uid="{4D51F3FB-D210-40AF-BC81-B0EFC32302B1}"/>
    <hyperlink ref="A8" location="Q6_D_Est_Func!B2" display="Q6_D_Est_Func!B2" xr:uid="{DB99BAB6-36F5-494B-841E-18DB72003739}"/>
    <hyperlink ref="A9" location="Q7_D_Est_Org!B2" display="Q7_D_Est_Org!B2" xr:uid="{23A5696D-775A-42B4-B16B-8C40BCDC42E4}"/>
    <hyperlink ref="A10" location="'Q8_Saldo_Global EPR'!B2" display="'Q8_Saldo_Global EPR'!B2" xr:uid="{ED449137-F13D-44F9-88F9-DFF493312589}"/>
    <hyperlink ref="A12" location="'Q10_SFA acumulado'!B2" display="'Q10_SFA acumulado'!B2" xr:uid="{ADBEC935-DCE9-4236-8232-0EDE4028CC74}"/>
    <hyperlink ref="A16" location="Q_11_12_13_14_Compromissos!B41" display="Q_11_12_13_14_Compromissos!B41" xr:uid="{BAD9A133-E14F-407B-899C-D23381A55606}"/>
    <hyperlink ref="A17" location="'Pagamentos_Atraso '!B2" display="'Pagamentos_Atraso '!B2" xr:uid="{BBAB661D-6B78-40E8-B9DD-E380E22DAE77}"/>
    <hyperlink ref="A18" location="'Pagamentos_Atraso '!B84" display="'Pagamentos_Atraso '!B84" xr:uid="{F718D3A5-B7AF-46BB-9849-9E40F5F28D40}"/>
    <hyperlink ref="A11" location="'Q9_SFA '!B2" display="'Q9_SFA '!B2" xr:uid="{8D1A7F21-9568-46EC-9B75-556892F57933}"/>
    <hyperlink ref="A13" location="Q_11_12_13_14_Compromissos!B2" display="Q_11_12_13_14_Compromissos!B2" xr:uid="{B7AE2B94-05CF-4D8E-8A81-72508CF8DB67}"/>
    <hyperlink ref="A14" location="Q_11_12_13_14_Compromissos!B23" display="Q_11_12_13_14_Compromissos!B23" xr:uid="{4D85DF17-CBC3-4CA4-9E81-59CFADE51B83}"/>
    <hyperlink ref="A15" location="Q_11_12_13_14_Compromissos!B32" display="Q_11_12_13_14_Compromissos!B32" xr:uid="{8538F7F0-97D0-48DD-B480-761461E7389D}"/>
    <hyperlink ref="A7" location="'Q5_D_Est ECO'!A1" display="'Q5_D_Est ECO'!A1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QUADRO I - Execução orçamental consolidada (janeiro)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103642.13907999999</v>
      </c>
      <c r="E5" s="57">
        <v>38304.150350000011</v>
      </c>
      <c r="F5" s="57">
        <v>35879.890940000005</v>
      </c>
      <c r="G5" s="57">
        <v>118724.34628</v>
      </c>
      <c r="H5" s="57">
        <v>-11.11037364238987</v>
      </c>
    </row>
    <row r="6" spans="1:10" ht="11.25" customHeight="1">
      <c r="C6" s="68" t="str">
        <f>+IF(Índice!$D$2=1,"Impostos diretos","Direct taxes")</f>
        <v>Impostos diretos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Impostos indiretos</v>
      </c>
      <c r="D7" s="56">
        <v>52128.657659999997</v>
      </c>
      <c r="E7" s="56">
        <v>0</v>
      </c>
      <c r="F7" s="56">
        <v>0</v>
      </c>
      <c r="G7" s="56">
        <v>52128.657659999997</v>
      </c>
      <c r="H7" s="56">
        <v>5.4568121478552056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51513.481419999996</v>
      </c>
      <c r="E9" s="56">
        <v>38304.150350000011</v>
      </c>
      <c r="F9" s="56">
        <v>35879.890940000005</v>
      </c>
      <c r="G9" s="56">
        <v>61173.528800000007</v>
      </c>
      <c r="H9" s="56">
        <v>7.3318171047832781</v>
      </c>
    </row>
    <row r="10" spans="1:10">
      <c r="C10" s="69" t="str">
        <f>+IF(Índice!$D$2=1,"Transferências correntes","Current transfers")</f>
        <v>Transferências correntes</v>
      </c>
      <c r="D10" s="56">
        <v>49971.868399999999</v>
      </c>
      <c r="E10" s="56">
        <v>37573.916840000013</v>
      </c>
      <c r="F10" s="56">
        <v>32617.039870000004</v>
      </c>
      <c r="G10" s="56">
        <v>55638.831199999993</v>
      </c>
      <c r="H10" s="56">
        <v>8.004788771264181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49956.599000000002</v>
      </c>
      <c r="E11" s="56">
        <v>158.7441</v>
      </c>
      <c r="F11" s="56">
        <v>0</v>
      </c>
      <c r="G11" s="56">
        <v>50115.343100000006</v>
      </c>
      <c r="H11" s="56">
        <v>1.8621661475269224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31929.447470000006</v>
      </c>
      <c r="F12" s="56">
        <v>32594.546440000006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5422.1598200000044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22666.700609999996</v>
      </c>
      <c r="E14" s="57">
        <v>46.403670000000005</v>
      </c>
      <c r="F14" s="57">
        <v>4707.7136600000003</v>
      </c>
      <c r="G14" s="57">
        <v>27420.817939999994</v>
      </c>
      <c r="H14" s="57">
        <v>-15.434900063669987</v>
      </c>
    </row>
    <row r="15" spans="1:10">
      <c r="C15" s="68" t="str">
        <f>+IF(Índice!$D$2=1,"Venda de bens de investimento","Sale of investment goods")</f>
        <v>Venda de bens de investimento</v>
      </c>
      <c r="D15" s="56">
        <v>7.8948</v>
      </c>
      <c r="E15" s="56">
        <v>0</v>
      </c>
      <c r="F15" s="56">
        <v>0</v>
      </c>
      <c r="G15" s="56">
        <v>7.8948</v>
      </c>
      <c r="H15" s="56">
        <v>-98.384001310025795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21262.069259999997</v>
      </c>
      <c r="E16" s="56">
        <v>16.2987</v>
      </c>
      <c r="F16" s="56">
        <v>4707.7136600000003</v>
      </c>
      <c r="G16" s="56">
        <v>21280.026949999999</v>
      </c>
      <c r="H16" s="56">
        <v>-30.551273356373908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19982.639500000001</v>
      </c>
      <c r="E17" s="56">
        <v>0</v>
      </c>
      <c r="F17" s="56">
        <v>0</v>
      </c>
      <c r="G17" s="56">
        <v>19982.639500000001</v>
      </c>
      <c r="H17" s="56">
        <v>-26.121369588037592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0</v>
      </c>
      <c r="F18" s="56">
        <v>4706.0546699999995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4706.0546699999995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126308.83968999999</v>
      </c>
      <c r="E20" s="57">
        <v>38350.55402000001</v>
      </c>
      <c r="F20" s="57">
        <v>40587.604600000006</v>
      </c>
      <c r="G20" s="57">
        <v>146145.16421999998</v>
      </c>
      <c r="H20" s="57">
        <v>-11.955160695113488</v>
      </c>
    </row>
    <row r="21" spans="3:8" ht="20.25" customHeight="1">
      <c r="C21" s="220" t="str">
        <f>+IF(Índice!$D$2=1,"Despesa corrente","Current expenditure")</f>
        <v>Despesa corrente</v>
      </c>
      <c r="D21" s="220">
        <v>83964.218269999998</v>
      </c>
      <c r="E21" s="220">
        <v>33950.629520000002</v>
      </c>
      <c r="F21" s="220">
        <v>29571.976020000009</v>
      </c>
      <c r="G21" s="220">
        <v>88382.828240000003</v>
      </c>
      <c r="H21" s="220">
        <v>22.207029318183125</v>
      </c>
    </row>
    <row r="22" spans="3:8" ht="10.5" customHeight="1">
      <c r="C22" s="68" t="str">
        <f>+IF(Índice!$D$2=1,"Consumo público","Public consumption")</f>
        <v>Consumo público</v>
      </c>
      <c r="D22" s="56">
        <v>29971.414539999965</v>
      </c>
      <c r="E22" s="56">
        <v>4013.6513000000004</v>
      </c>
      <c r="F22" s="56">
        <v>28480.212270000011</v>
      </c>
      <c r="G22" s="56">
        <v>62465.27810999997</v>
      </c>
      <c r="H22" s="56">
        <v>31.857937438272476</v>
      </c>
    </row>
    <row r="23" spans="3:8">
      <c r="C23" s="69" t="str">
        <f>+IF(Índice!$D$2=1,"Despesas com o pessoal","Compensation of employees")</f>
        <v>Despesas com o pessoal</v>
      </c>
      <c r="D23" s="56">
        <v>27719.057249999965</v>
      </c>
      <c r="E23" s="56">
        <v>3832.8206200000004</v>
      </c>
      <c r="F23" s="56">
        <v>16812.194940000005</v>
      </c>
      <c r="G23" s="56">
        <v>48364.072809999969</v>
      </c>
      <c r="H23" s="56">
        <v>11.907126514462352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2252.3572900000004</v>
      </c>
      <c r="E24" s="56">
        <v>180.83068</v>
      </c>
      <c r="F24" s="56">
        <v>11668.017330000004</v>
      </c>
      <c r="G24" s="56">
        <v>14101.205300000003</v>
      </c>
      <c r="H24" s="56">
        <v>239.36943501854881</v>
      </c>
    </row>
    <row r="25" spans="3:8">
      <c r="C25" s="68" t="str">
        <f>+IF(Índice!$D$2=1,"Subsídios","Subsidies")</f>
        <v>Subsídios</v>
      </c>
      <c r="D25" s="56">
        <v>0</v>
      </c>
      <c r="E25" s="56">
        <v>223.28120000000001</v>
      </c>
      <c r="F25" s="56">
        <v>0</v>
      </c>
      <c r="G25" s="56">
        <v>221.11972</v>
      </c>
      <c r="H25" s="56">
        <v>-20.680259468285868</v>
      </c>
    </row>
    <row r="26" spans="3:8">
      <c r="C26" s="68" t="str">
        <f>+IF(Índice!$D$2=1,"Juros e outros encargos","Interests and other charges")</f>
        <v>Juros e outros encargos</v>
      </c>
      <c r="D26" s="56">
        <v>18562.689609999994</v>
      </c>
      <c r="E26" s="56">
        <v>3.678E-2</v>
      </c>
      <c r="F26" s="56">
        <v>0.31036999999999998</v>
      </c>
      <c r="G26" s="56">
        <v>18563.036759999995</v>
      </c>
      <c r="H26" s="56">
        <v>-1.6675319135094124</v>
      </c>
    </row>
    <row r="27" spans="3:8">
      <c r="C27" s="68" t="str">
        <f>+IF(Índice!$D$2=1,"Transferências correntes","Current transfers")</f>
        <v>Transferências correntes</v>
      </c>
      <c r="D27" s="56">
        <v>35430.114120000042</v>
      </c>
      <c r="E27" s="56">
        <v>29713.660240000001</v>
      </c>
      <c r="F27" s="56">
        <v>1091.4533800000002</v>
      </c>
      <c r="G27" s="56">
        <v>7133.3936500000418</v>
      </c>
      <c r="H27" s="56">
        <v>23.149904488475869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179.65969000000001</v>
      </c>
      <c r="F28" s="56">
        <v>0</v>
      </c>
      <c r="G28" s="56">
        <v>179.65969000000001</v>
      </c>
      <c r="H28" s="56">
        <v>4.9290270657317281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31929.447470000006</v>
      </c>
      <c r="E29" s="56">
        <v>27172.386620000001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2888.6174800000003</v>
      </c>
      <c r="E31" s="57">
        <v>1.6058400000000002</v>
      </c>
      <c r="F31" s="57">
        <v>138.61664000000002</v>
      </c>
      <c r="G31" s="57">
        <v>3028.8399600000002</v>
      </c>
      <c r="H31" s="57">
        <v>283.96225232318</v>
      </c>
    </row>
    <row r="32" spans="3:8">
      <c r="C32" s="68" t="str">
        <f>+IF(Índice!$D$2=1,"Investimento","Investment")</f>
        <v>Investimento</v>
      </c>
      <c r="D32" s="56">
        <v>122.68176</v>
      </c>
      <c r="E32" s="56">
        <v>1.6058400000000002</v>
      </c>
      <c r="F32" s="56">
        <v>87.616640000000004</v>
      </c>
      <c r="G32" s="56">
        <v>211.90424000000002</v>
      </c>
      <c r="H32" s="56">
        <v>-56.845033902649114</v>
      </c>
    </row>
    <row r="33" spans="3:8">
      <c r="C33" s="68" t="str">
        <f>+IF(Índice!$D$2=1,"Transferências capital","Capital transfers")</f>
        <v>Transferências capital</v>
      </c>
      <c r="D33" s="56">
        <v>2765.9357200000004</v>
      </c>
      <c r="E33" s="56">
        <v>0</v>
      </c>
      <c r="F33" s="56">
        <v>51</v>
      </c>
      <c r="G33" s="56">
        <v>2816.9357200000004</v>
      </c>
      <c r="H33" s="56">
        <v>845.89305154009151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425.93571999999995</v>
      </c>
      <c r="E34" s="56">
        <v>0</v>
      </c>
      <c r="F34" s="56">
        <v>0</v>
      </c>
      <c r="G34" s="56">
        <v>425.93571999999995</v>
      </c>
      <c r="H34" s="56">
        <v>43.024079353406705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86852.835750000013</v>
      </c>
      <c r="E38" s="86">
        <v>33952.235359999999</v>
      </c>
      <c r="F38" s="86">
        <v>29710.592660000009</v>
      </c>
      <c r="G38" s="86">
        <v>91411.6682</v>
      </c>
      <c r="H38" s="86">
        <v>25.031259723602805</v>
      </c>
    </row>
    <row r="39" spans="3:8" ht="17.25" customHeight="1">
      <c r="C39" s="138" t="str">
        <f>+IF(Índice!$D$2=1,"Saldo global","Overall balance")</f>
        <v>Saldo global</v>
      </c>
      <c r="D39" s="139">
        <v>39456.003939999981</v>
      </c>
      <c r="E39" s="139">
        <v>4398.3186600000117</v>
      </c>
      <c r="F39" s="139">
        <v>10877.011939999997</v>
      </c>
      <c r="G39" s="139">
        <v>54733.496019999977</v>
      </c>
      <c r="H39" s="139">
        <v>-41.069739050701315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19677.920809999996</v>
      </c>
      <c r="E41" s="19">
        <v>4353.5208300000086</v>
      </c>
      <c r="F41" s="19">
        <v>6307.9149199999956</v>
      </c>
      <c r="G41" s="19">
        <v>30341.518039999995</v>
      </c>
      <c r="H41" s="19">
        <v>-50.456007435468706</v>
      </c>
    </row>
    <row r="42" spans="3:8">
      <c r="C42" s="68" t="str">
        <f>+IF(Índice!$D$2=1,"Despesa corrente primária","Primary current expenditure")</f>
        <v>Despesa corrente primária</v>
      </c>
      <c r="D42" s="19">
        <v>65401.528660000004</v>
      </c>
      <c r="E42" s="19">
        <v>33950.59274</v>
      </c>
      <c r="F42" s="19">
        <v>29571.66565000001</v>
      </c>
      <c r="G42" s="19">
        <v>69819.791480000014</v>
      </c>
      <c r="H42" s="19">
        <v>30.640093773522501</v>
      </c>
    </row>
    <row r="43" spans="3:8">
      <c r="C43" s="68" t="str">
        <f>+IF(Índice!$D$2=1,"Saldo corrente primário","Primary current balance")</f>
        <v>Saldo corrente primário</v>
      </c>
      <c r="D43" s="19">
        <v>38240.61041999999</v>
      </c>
      <c r="E43" s="19">
        <v>4353.5576100000108</v>
      </c>
      <c r="F43" s="19">
        <v>6308.2252899999949</v>
      </c>
      <c r="G43" s="19">
        <v>48904.554799999984</v>
      </c>
      <c r="H43" s="19">
        <v>-38.960407252880749</v>
      </c>
    </row>
    <row r="44" spans="3:8">
      <c r="C44" s="68" t="str">
        <f>+IF(Índice!$D$2=1,"Saldo de capital","Capital balance")</f>
        <v>Saldo de capital</v>
      </c>
      <c r="D44" s="19">
        <v>19778.083129999995</v>
      </c>
      <c r="E44" s="19">
        <v>44.797830000000005</v>
      </c>
      <c r="F44" s="19">
        <v>4569.0970200000002</v>
      </c>
      <c r="G44" s="19">
        <v>24391.977979999992</v>
      </c>
      <c r="H44" s="19">
        <v>-22.900112740606748</v>
      </c>
    </row>
    <row r="45" spans="3:8">
      <c r="C45" s="68" t="str">
        <f t="array" ref="C45">+IF(Índice!$D$2=1,"Despesa primária","Primary expenditure")</f>
        <v>Despesa primária</v>
      </c>
      <c r="D45" s="19">
        <v>68290.146140000026</v>
      </c>
      <c r="E45" s="19">
        <v>33952.198579999997</v>
      </c>
      <c r="F45" s="19">
        <v>29710.28229000001</v>
      </c>
      <c r="G45" s="19">
        <v>72848.631439999997</v>
      </c>
      <c r="H45" s="19">
        <v>34.324738174086633</v>
      </c>
    </row>
    <row r="46" spans="3:8">
      <c r="C46" s="221" t="str">
        <f>+IF(Índice!$D$2=1,"Saldo primário","Primary balance")</f>
        <v>Saldo primário</v>
      </c>
      <c r="D46" s="132">
        <v>58018.693549999967</v>
      </c>
      <c r="E46" s="132">
        <v>4398.3554400000139</v>
      </c>
      <c r="F46" s="132">
        <v>10877.322309999996</v>
      </c>
      <c r="G46" s="132">
        <v>73296.53277999998</v>
      </c>
      <c r="H46" s="132">
        <v>-34.413930722459064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29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296"/>
      <c r="E48" s="296"/>
      <c r="F48" s="296"/>
      <c r="G48" s="296"/>
    </row>
    <row r="49" spans="3:7" ht="9" customHeight="1">
      <c r="C49" s="296"/>
      <c r="D49" s="296"/>
      <c r="E49" s="296"/>
      <c r="F49" s="296"/>
      <c r="G49" s="296"/>
    </row>
    <row r="50" spans="3:7" ht="9" customHeight="1">
      <c r="C50" s="296"/>
      <c r="D50" s="296"/>
      <c r="E50" s="296"/>
      <c r="F50" s="296"/>
      <c r="G50" s="296"/>
    </row>
    <row r="51" spans="3:7" ht="9" customHeight="1">
      <c r="C51" s="29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296"/>
      <c r="E51" s="296"/>
      <c r="F51" s="296"/>
      <c r="G51" s="296"/>
    </row>
    <row r="52" spans="3:7" ht="9" customHeight="1">
      <c r="C52" s="296"/>
      <c r="D52" s="296"/>
      <c r="E52" s="296"/>
      <c r="F52" s="296"/>
      <c r="G52" s="296"/>
    </row>
    <row r="53" spans="3:7" ht="9" customHeight="1">
      <c r="C53" s="296"/>
      <c r="D53" s="296"/>
      <c r="E53" s="296"/>
      <c r="F53" s="296"/>
      <c r="G53" s="29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QUADRO II - Execução orçamental do Gov. Regional (janeiro)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99909.147659999988</v>
      </c>
      <c r="E5" s="225">
        <v>103642.13907999999</v>
      </c>
      <c r="F5" s="225">
        <v>3.7363860141252703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49431.285279999996</v>
      </c>
      <c r="E6" s="231">
        <v>52128.657659999997</v>
      </c>
      <c r="F6" s="231">
        <v>5.4568121478552056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49431.285279999996</v>
      </c>
      <c r="E8" s="231">
        <v>52128.657659999997</v>
      </c>
      <c r="F8" s="231">
        <v>5.4568121478552056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50477.862379999991</v>
      </c>
      <c r="E9" s="231">
        <v>51513.481419999996</v>
      </c>
      <c r="F9" s="231">
        <v>2.051630142742189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30428.426189999998</v>
      </c>
      <c r="E10" s="232">
        <v>22666.70061</v>
      </c>
      <c r="F10" s="232">
        <v>-25.508140090895704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130337.57384999999</v>
      </c>
      <c r="E12" s="232">
        <v>126308.83968999999</v>
      </c>
      <c r="F12" s="232">
        <v>-3.0909998099523439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56670.387699999912</v>
      </c>
      <c r="E14" s="232">
        <v>83964.218269999983</v>
      </c>
      <c r="F14" s="232">
        <v>48.162420759299152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27512.740669999923</v>
      </c>
      <c r="E15" s="231">
        <v>27719.057249999991</v>
      </c>
      <c r="F15" s="231">
        <v>0.74989468506507784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2298.4925499999995</v>
      </c>
      <c r="E16" s="231">
        <v>2227.7080000000005</v>
      </c>
      <c r="F16" s="231">
        <v>-3.0796075453887739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18859.340049999995</v>
      </c>
      <c r="E17" s="231">
        <v>18562.689609999994</v>
      </c>
      <c r="F17" s="231">
        <v>-1.57296299453491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7965.3299699999989</v>
      </c>
      <c r="E18" s="231">
        <v>35430.114120000006</v>
      </c>
      <c r="F18" s="231">
        <v>344.80409792740841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4555.0929499999993</v>
      </c>
      <c r="E19" s="231">
        <v>31929.447470000006</v>
      </c>
      <c r="F19" s="231">
        <v>600.96149124684734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3410.23702</v>
      </c>
      <c r="E20" s="231">
        <v>3500.6666500000001</v>
      </c>
      <c r="F20" s="231">
        <v>2.6517109945630724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0</v>
      </c>
      <c r="E21" s="231">
        <v>0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34.484459999999999</v>
      </c>
      <c r="E22" s="231">
        <v>24.649289999999997</v>
      </c>
      <c r="F22" s="231">
        <v>-28.520585794296917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641.20282000000009</v>
      </c>
      <c r="E23" s="232">
        <v>2888.6174799999999</v>
      </c>
      <c r="F23" s="232">
        <v>350.49980909316645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61.247920000000001</v>
      </c>
      <c r="E24" s="231">
        <v>122.68176</v>
      </c>
      <c r="F24" s="231">
        <v>100.30355316556054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579.95490000000007</v>
      </c>
      <c r="E25" s="231">
        <v>2765.9357199999999</v>
      </c>
      <c r="F25" s="231">
        <v>376.92255380547692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579.95490000000007</v>
      </c>
      <c r="E26" s="231">
        <v>425.93571999999995</v>
      </c>
      <c r="F26" s="231">
        <v>-26.557096077643294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0</v>
      </c>
      <c r="E27" s="231">
        <v>2340</v>
      </c>
      <c r="F27" s="231">
        <v>0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57311.590519999911</v>
      </c>
      <c r="E29" s="235">
        <v>86852.835749999984</v>
      </c>
      <c r="F29" s="235">
        <v>51.544975391480577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73025.983330000076</v>
      </c>
      <c r="E31" s="139">
        <v>39456.00394000001</v>
      </c>
      <c r="F31" s="139">
        <v>-45.969910789560096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43238.759960000076</v>
      </c>
      <c r="E33" s="19">
        <v>19677.920810000011</v>
      </c>
      <c r="F33" s="19">
        <v>-54.490089844843048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29787.22337</v>
      </c>
      <c r="E34" s="19">
        <v>19778.083129999999</v>
      </c>
      <c r="F34" s="19">
        <v>-33.602125702258768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91885.323380000074</v>
      </c>
      <c r="E35" s="19">
        <v>58018.693550000004</v>
      </c>
      <c r="F35" s="19">
        <v>-36.857496479542831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0</v>
      </c>
      <c r="E36" s="106">
        <v>0</v>
      </c>
      <c r="F36" s="106">
        <v>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297"/>
      <c r="D38" s="297"/>
      <c r="E38" s="297"/>
      <c r="F38" s="29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QUADRO III - Execução orçamental da receita fiscal do Gov. Reg. (janeiro)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49431.285279999996</v>
      </c>
      <c r="E5" s="33">
        <v>52128.657659999997</v>
      </c>
      <c r="F5" s="270">
        <v>5.4568121478552056E-2</v>
      </c>
      <c r="G5" s="270">
        <v>4.1917852775303251E-2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49431.285279999996</v>
      </c>
      <c r="E11" s="70">
        <v>52128.657659999997</v>
      </c>
      <c r="F11" s="271">
        <v>5.4568121478552056E-2</v>
      </c>
      <c r="G11" s="271">
        <v>6.6460784976955511E-2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47807.316089999993</v>
      </c>
      <c r="E13" s="70">
        <v>50049.295149999998</v>
      </c>
      <c r="F13" s="271">
        <v>4.6896149864998682E-2</v>
      </c>
      <c r="G13" s="271">
        <v>8.313448806366032E-2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0</v>
      </c>
      <c r="E15" s="70">
        <v>344.02422999999999</v>
      </c>
      <c r="F15" s="271">
        <v>0</v>
      </c>
      <c r="G15" s="271">
        <v>7.3967143099054888E-3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186.51188999999999</v>
      </c>
      <c r="E16" s="70">
        <v>185.92702</v>
      </c>
      <c r="F16" s="271">
        <v>-3.1358322517668347E-3</v>
      </c>
      <c r="G16" s="271">
        <v>1.4495951780949741E-2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1437.4573</v>
      </c>
      <c r="E17" s="70">
        <v>1549.4112599999999</v>
      </c>
      <c r="F17" s="271">
        <v>7.7883329125671974E-2</v>
      </c>
      <c r="G17" s="271">
        <v>2.2969721460276607E-2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0</v>
      </c>
      <c r="E18" s="70">
        <v>0</v>
      </c>
      <c r="F18" s="271">
        <v>0</v>
      </c>
      <c r="G18" s="271">
        <v>0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80906.28856999999</v>
      </c>
      <c r="E21" s="33">
        <v>74180.182029999996</v>
      </c>
      <c r="F21" s="270">
        <v>-8.3134533283906298E-2</v>
      </c>
      <c r="G21" s="270">
        <v>0.11538172246010461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130337.57384999999</v>
      </c>
      <c r="E23" s="139">
        <v>126308.83968999999</v>
      </c>
      <c r="F23" s="274">
        <v>-3.0909998099523439E-2</v>
      </c>
      <c r="G23" s="274">
        <v>6.6953996618040981E-2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+IF(Índice!$D$2=1,"QUADROI V - Execução orçamental da receita não fiscal do Gov. Reg. (janeiro)","TABLE IV - Regional Gov. non-tax revenue budget execution (january)")</f>
        <v>QUADROI V - Execução orçamental da receita não fiscal do Gov. Reg. (janeiro)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49431.285279999996</v>
      </c>
      <c r="E5" s="41">
        <v>52128.657659999997</v>
      </c>
      <c r="F5" s="276">
        <v>5.4568121478552056E-2</v>
      </c>
      <c r="G5" s="42">
        <v>4.1917852775303251E-2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80906.28856999999</v>
      </c>
      <c r="E7" s="41">
        <v>74180.182029999996</v>
      </c>
      <c r="F7" s="276">
        <v>-8.3134533283906298E-2</v>
      </c>
      <c r="G7" s="42">
        <v>0.11538172246010461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50477.862379999991</v>
      </c>
      <c r="E8" s="41">
        <v>51513.481419999996</v>
      </c>
      <c r="F8" s="276">
        <v>2.051630142742189E-2</v>
      </c>
      <c r="G8" s="42">
        <v>0.1408782811403364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688.61460000000011</v>
      </c>
      <c r="E10" s="71">
        <v>718.28930000000003</v>
      </c>
      <c r="F10" s="278">
        <v>4.3093335517428555E-2</v>
      </c>
      <c r="G10" s="43">
        <v>1.6199531494361045E-2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3.2960100000000003</v>
      </c>
      <c r="E11" s="71">
        <v>4.2434099999999999</v>
      </c>
      <c r="F11" s="278">
        <v>0.28743844830567844</v>
      </c>
      <c r="G11" s="43">
        <v>5.7199344245854422E-4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49222.510999999999</v>
      </c>
      <c r="E12" s="71">
        <v>49971.868399999999</v>
      </c>
      <c r="F12" s="278">
        <v>1.5223875921323904E-2</v>
      </c>
      <c r="G12" s="43">
        <v>0.17717221913284473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541.14729999999997</v>
      </c>
      <c r="E13" s="47">
        <v>665.49202000000002</v>
      </c>
      <c r="F13" s="278">
        <v>0.22977980302220868</v>
      </c>
      <c r="G13" s="43">
        <v>4.7749029240909048E-2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22.293470000000003</v>
      </c>
      <c r="E14" s="71">
        <v>153.58829</v>
      </c>
      <c r="F14" s="278">
        <v>5.8893846494063053</v>
      </c>
      <c r="G14" s="43">
        <v>8.5751105190459021E-3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30428.426189999998</v>
      </c>
      <c r="E17" s="41">
        <v>22666.70061</v>
      </c>
      <c r="F17" s="276">
        <v>-0.25508140090895703</v>
      </c>
      <c r="G17" s="42">
        <v>8.1755005516957774E-2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306.94</v>
      </c>
      <c r="E18" s="71">
        <v>7.8948</v>
      </c>
      <c r="F18" s="278">
        <v>-0.97427901218479185</v>
      </c>
      <c r="G18" s="43">
        <v>7.3666921529257654E-4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30029.0789</v>
      </c>
      <c r="E19" s="44">
        <v>21262.06926</v>
      </c>
      <c r="F19" s="278">
        <v>-0.29195066785748136</v>
      </c>
      <c r="G19" s="43">
        <v>8.2720475542132396E-2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0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92.407289999999989</v>
      </c>
      <c r="E21" s="47">
        <v>1396.7365499999999</v>
      </c>
      <c r="F21" s="278">
        <v>14.115003913652266</v>
      </c>
      <c r="G21" s="43">
        <v>0.14727073360985105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130337.57384999999</v>
      </c>
      <c r="E23" s="287">
        <v>126308.83968999999</v>
      </c>
      <c r="F23" s="288">
        <v>-3.0909998099523439E-2</v>
      </c>
      <c r="G23" s="288">
        <v>6.6953996618040981E-2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H11" sqref="H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QUADRO V - Execução orçamental das despesas do Governo Regional (janeiro)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299">
        <v>2023</v>
      </c>
      <c r="E3" s="301">
        <v>2024</v>
      </c>
      <c r="F3" s="153">
        <v>2023</v>
      </c>
      <c r="G3" s="153">
        <v>2024</v>
      </c>
      <c r="H3" s="302" t="str">
        <f>+IF(Índice!$D$2=1,"VH (%)","yoy change (%)")</f>
        <v>VH (%)</v>
      </c>
    </row>
    <row r="4" spans="1:15" ht="12" customHeight="1">
      <c r="C4" s="132"/>
      <c r="D4" s="300"/>
      <c r="E4" s="300"/>
      <c r="F4" s="298" t="str">
        <f>+IF(Índice!$D$2=1,"Grau de Execução (%)","Execution level (%)")</f>
        <v>Grau de Execução (%)</v>
      </c>
      <c r="G4" s="298" t="str">
        <f>+IF(Índice!$D$2="PT","Grau de Execução (%)","Execution Level (%)")</f>
        <v>Execution Level (%)</v>
      </c>
      <c r="H4" s="30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56670.387699999912</v>
      </c>
      <c r="E5" s="253">
        <v>83964.218269999983</v>
      </c>
      <c r="F5" s="253">
        <v>3.8820611038430006</v>
      </c>
      <c r="G5" s="253">
        <v>5.2276534732128326</v>
      </c>
      <c r="H5" s="253">
        <v>48.162420759299152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27512.740669999923</v>
      </c>
      <c r="E6" s="74">
        <v>27719.057249999991</v>
      </c>
      <c r="F6" s="74">
        <v>6.0267906787851766</v>
      </c>
      <c r="G6" s="74">
        <v>5.711578207857209</v>
      </c>
      <c r="H6" s="254">
        <v>0.74989468506507928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26984.612899999956</v>
      </c>
      <c r="E7" s="75">
        <v>27040.676989999993</v>
      </c>
      <c r="F7" s="75">
        <v>7.4285196376029452</v>
      </c>
      <c r="G7" s="75">
        <v>7.1097036432622165</v>
      </c>
      <c r="H7" s="254">
        <v>0.20776318047547876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238.37769000000003</v>
      </c>
      <c r="E8" s="75">
        <v>413.61556000000013</v>
      </c>
      <c r="F8" s="75">
        <v>3.1239729174426007</v>
      </c>
      <c r="G8" s="75">
        <v>2.8493818706631839</v>
      </c>
      <c r="H8" s="254">
        <v>73.512697434059405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289.75007999999997</v>
      </c>
      <c r="E9" s="75">
        <v>264.76469999999989</v>
      </c>
      <c r="F9" s="75">
        <v>0.33841484544636236</v>
      </c>
      <c r="G9" s="75">
        <v>0.29267838271025287</v>
      </c>
      <c r="H9" s="254">
        <v>-8.6230795863801255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2298.4925499999995</v>
      </c>
      <c r="E10" s="75">
        <v>2227.7080000000005</v>
      </c>
      <c r="F10" s="75">
        <v>1.1184960339710119</v>
      </c>
      <c r="G10" s="75">
        <v>1.0043167250575917</v>
      </c>
      <c r="H10" s="254">
        <v>-3.0796075453887792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18859.340049999995</v>
      </c>
      <c r="E11" s="75">
        <v>18562.689609999994</v>
      </c>
      <c r="F11" s="75">
        <v>14.013397789788403</v>
      </c>
      <c r="G11" s="75">
        <v>13.553247209134714</v>
      </c>
      <c r="H11" s="254">
        <v>-1.5729629945349086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7965.3299699999989</v>
      </c>
      <c r="E12" s="74">
        <v>35430.114120000006</v>
      </c>
      <c r="F12" s="74">
        <v>1.2775909531009018</v>
      </c>
      <c r="G12" s="74">
        <v>4.7615267459088528</v>
      </c>
      <c r="H12" s="254">
        <v>344.80409792740841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4555.0929499999993</v>
      </c>
      <c r="E13" s="74">
        <v>31929.447470000006</v>
      </c>
      <c r="F13" s="74">
        <v>0.87411914168118443</v>
      </c>
      <c r="G13" s="74">
        <v>5.1647460154103753</v>
      </c>
      <c r="H13" s="254">
        <v>600.96149124684746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4555.0929499999993</v>
      </c>
      <c r="E15" s="75">
        <v>31929.447470000006</v>
      </c>
      <c r="F15" s="75">
        <v>0.8749041680166022</v>
      </c>
      <c r="G15" s="75">
        <v>5.1701806924086702</v>
      </c>
      <c r="H15" s="254">
        <v>600.96149124684746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3410.23702</v>
      </c>
      <c r="E18" s="75">
        <v>3500.6666500000001</v>
      </c>
      <c r="F18" s="72">
        <v>3.3316708897463569</v>
      </c>
      <c r="G18" s="72">
        <v>2.7811245636382567</v>
      </c>
      <c r="H18" s="77">
        <v>2.6517109945630728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0</v>
      </c>
      <c r="E19" s="72">
        <v>0</v>
      </c>
      <c r="F19" s="72">
        <v>0</v>
      </c>
      <c r="G19" s="72">
        <v>0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34.484459999999999</v>
      </c>
      <c r="E20" s="72">
        <v>24.649289999999997</v>
      </c>
      <c r="F20" s="72">
        <v>0.85381096326785066</v>
      </c>
      <c r="G20" s="72">
        <v>0.3712732841370765</v>
      </c>
      <c r="H20" s="77">
        <v>-28.520585794296917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37811.04764999992</v>
      </c>
      <c r="E22" s="78">
        <v>65401.528659999989</v>
      </c>
      <c r="F22" s="78">
        <v>2.8531886043698629</v>
      </c>
      <c r="G22" s="78">
        <v>4.4515249106190931</v>
      </c>
      <c r="H22" s="76">
        <v>72.969364047759015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641.20282000000009</v>
      </c>
      <c r="E24" s="78">
        <v>2888.6174799999999</v>
      </c>
      <c r="F24" s="78">
        <v>0.2344752660070335</v>
      </c>
      <c r="G24" s="78">
        <v>0.8852857519833125</v>
      </c>
      <c r="H24" s="76">
        <v>350.49980909316645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61.247920000000001</v>
      </c>
      <c r="E25" s="72">
        <v>122.68176</v>
      </c>
      <c r="F25" s="72">
        <v>3.3467763927129426E-2</v>
      </c>
      <c r="G25" s="72">
        <v>6.261197158324884E-2</v>
      </c>
      <c r="H25" s="77">
        <v>100.30355316556054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579.95490000000007</v>
      </c>
      <c r="E26" s="59">
        <v>2765.9357199999999</v>
      </c>
      <c r="F26" s="59">
        <v>0.64113757528715065</v>
      </c>
      <c r="G26" s="59">
        <v>2.1549557655054463</v>
      </c>
      <c r="H26" s="77">
        <v>376.92255380547687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579.95490000000007</v>
      </c>
      <c r="E27" s="59">
        <v>425.93571999999995</v>
      </c>
      <c r="F27" s="59">
        <v>0.79086887247147752</v>
      </c>
      <c r="G27" s="59">
        <v>0.48262765467706636</v>
      </c>
      <c r="H27" s="77">
        <v>-26.557096077643294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297.80700000000002</v>
      </c>
      <c r="E28" s="72">
        <v>425.93571999999995</v>
      </c>
      <c r="F28" s="72">
        <v>3.3622895908761032</v>
      </c>
      <c r="G28" s="72">
        <v>3.9513363098374548</v>
      </c>
      <c r="H28" s="77">
        <v>43.024079353406712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282.14790000000005</v>
      </c>
      <c r="E29" s="72">
        <v>0</v>
      </c>
      <c r="F29" s="72">
        <v>0.47618895723512872</v>
      </c>
      <c r="G29" s="72">
        <v>0</v>
      </c>
      <c r="H29" s="77">
        <v>-100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57311.590519999911</v>
      </c>
      <c r="E33" s="142">
        <v>86852.835749999984</v>
      </c>
      <c r="F33" s="143">
        <v>3.3065693761832313</v>
      </c>
      <c r="G33" s="143">
        <v>4.4944482653999547</v>
      </c>
      <c r="H33" s="141">
        <v>51.544975391480584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0</v>
      </c>
      <c r="E36" s="150">
        <v>0</v>
      </c>
      <c r="F36" s="150">
        <v>0</v>
      </c>
      <c r="G36" s="150">
        <v>0</v>
      </c>
      <c r="H36" s="128" t="s">
        <v>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48153.853379999993</v>
      </c>
      <c r="E37" s="150">
        <v>49459.339980000004</v>
      </c>
      <c r="F37" s="150">
        <v>18.777557030130289</v>
      </c>
      <c r="G37" s="150">
        <v>10.663952235602476</v>
      </c>
      <c r="H37" s="128">
        <v>2.7110740021113786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QUADRO VI - Despesa do Governo Regional, por classificação funcional (janeiro)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01">
        <v>2023</v>
      </c>
      <c r="E3" s="304">
        <v>2024</v>
      </c>
      <c r="F3" s="305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00"/>
      <c r="E4" s="300"/>
      <c r="F4" s="30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24261.249430000007</v>
      </c>
      <c r="E5" s="34">
        <v>26316.583790000004</v>
      </c>
      <c r="F5" s="34">
        <v>30.300200981060087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533.74656999999991</v>
      </c>
      <c r="E7" s="34">
        <v>748.34055000000001</v>
      </c>
      <c r="F7" s="34">
        <v>0.86161901743087299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3344.2242499999988</v>
      </c>
      <c r="E8" s="34">
        <v>3039.5080800000001</v>
      </c>
      <c r="F8" s="34">
        <v>3.4996071846738754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1030.33762</v>
      </c>
      <c r="E9" s="34">
        <v>1392.51719</v>
      </c>
      <c r="F9" s="34">
        <v>1.6033065333736096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593.51012000000026</v>
      </c>
      <c r="E10" s="34">
        <v>593.26566999999989</v>
      </c>
      <c r="F10" s="34">
        <v>0.68307000557549424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790.35888999999986</v>
      </c>
      <c r="E11" s="34">
        <v>28066.80659</v>
      </c>
      <c r="F11" s="34">
        <v>32.315360054320394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927.66737999999987</v>
      </c>
      <c r="E12" s="34">
        <v>999.12662999999975</v>
      </c>
      <c r="F12" s="34">
        <v>1.1503673096822284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24678.809499999985</v>
      </c>
      <c r="E13" s="34">
        <v>25037.507119999998</v>
      </c>
      <c r="F13" s="34">
        <v>28.827506786386071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510.48394000000008</v>
      </c>
      <c r="E14" s="34">
        <v>659.18013000000019</v>
      </c>
      <c r="F14" s="34">
        <v>0.75896212749737446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56670.387699999985</v>
      </c>
      <c r="E17" s="145">
        <v>86852.835749999998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0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48153.853379999993</v>
      </c>
      <c r="E21" s="283">
        <v>49459.339980000004</v>
      </c>
      <c r="F21" s="283">
        <v>56.946142924297092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QUADRO VII - Execução orçamental por classificação cruzada orgânica e económica (janeiro)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Milhares</v>
      </c>
      <c r="O2" s="190" t="str">
        <f>+IF(Índice!$D$2=1,"índice","Index")</f>
        <v>índice</v>
      </c>
    </row>
    <row r="3" spans="2:15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+IF(Índice!$D$2=1,"Finanças","Finances")</f>
        <v>Finanças</v>
      </c>
      <c r="H3" s="192" t="str">
        <f>+IF(Índice!$D$2=1,"Saúde e Proteção Civil","Health and Civil Protection")</f>
        <v>Saúde e Proteção Civil</v>
      </c>
      <c r="I3" s="192" t="str">
        <f>+IF(Índice!$D$2=1,"Economia, Turismo e Cultura","Economy, Tourism and Culture")</f>
        <v>Economia, Turismo e Cultura</v>
      </c>
      <c r="J3" s="192" t="str">
        <f>+IF(Índice!$D$2=1,"Agricultura, Pescas e Ambiente","Agriculture, Fisheries and  Enviroment")</f>
        <v>Agricultura, Pescas e Ambiente</v>
      </c>
      <c r="K3" s="192" t="str">
        <f>+IF(Índice!$D$2=1,"Equipamentos e Infraestruturas","Equipment and infrastructures")</f>
        <v>Equipamentos e Infraestruturas</v>
      </c>
      <c r="L3" s="192" t="str">
        <f>+IF(Índice!$D$2=1,"Inclusão, Trabalho e Jventude","Inclusion, Labor and Youth")</f>
        <v>Inclusão, Trabalho e Jventude</v>
      </c>
      <c r="M3" s="193" t="s">
        <v>5</v>
      </c>
    </row>
    <row r="4" spans="2:15" ht="27" customHeight="1">
      <c r="C4" s="253" t="str">
        <f>+IF(Índice!$D$2=1,"Despesa corrente","Current expenditure")</f>
        <v>Despesa corrente</v>
      </c>
      <c r="D4" s="194">
        <v>775</v>
      </c>
      <c r="E4" s="194">
        <v>117.28442999999999</v>
      </c>
      <c r="F4" s="194">
        <v>25912.622460000013</v>
      </c>
      <c r="G4" s="194">
        <v>23366.070789999994</v>
      </c>
      <c r="H4" s="194">
        <v>28297.35426</v>
      </c>
      <c r="I4" s="194">
        <v>985.70771999999988</v>
      </c>
      <c r="J4" s="194">
        <v>2529.158069999999</v>
      </c>
      <c r="K4" s="194">
        <v>1213.6657499999999</v>
      </c>
      <c r="L4" s="194">
        <v>767.35479000000009</v>
      </c>
      <c r="M4" s="194">
        <v>83964.218270000012</v>
      </c>
    </row>
    <row r="5" spans="2:15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113.26046999999998</v>
      </c>
      <c r="F5" s="196">
        <v>21050.750500000013</v>
      </c>
      <c r="G5" s="196">
        <v>2034.8693299999982</v>
      </c>
      <c r="H5" s="196">
        <v>333.88302999999991</v>
      </c>
      <c r="I5" s="196">
        <v>981.75839999999994</v>
      </c>
      <c r="J5" s="196">
        <v>1693.0890699999991</v>
      </c>
      <c r="K5" s="196">
        <v>1038.8167599999999</v>
      </c>
      <c r="L5" s="196">
        <v>472.62969000000004</v>
      </c>
      <c r="M5" s="196">
        <v>27719.057250000013</v>
      </c>
      <c r="N5" s="21"/>
    </row>
    <row r="6" spans="2:15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106.04680999999999</v>
      </c>
      <c r="F6" s="198">
        <v>20715.826330000011</v>
      </c>
      <c r="G6" s="198">
        <v>1790.6588599999982</v>
      </c>
      <c r="H6" s="198">
        <v>324.9644199999999</v>
      </c>
      <c r="I6" s="198">
        <v>969.70060999999998</v>
      </c>
      <c r="J6" s="198">
        <v>1661.1642599999991</v>
      </c>
      <c r="K6" s="198">
        <v>1015.8596899999999</v>
      </c>
      <c r="L6" s="198">
        <v>456.45601000000005</v>
      </c>
      <c r="M6" s="198">
        <v>27040.676990000011</v>
      </c>
    </row>
    <row r="7" spans="2:15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1.83223</v>
      </c>
      <c r="F7" s="198">
        <v>147.69786000000002</v>
      </c>
      <c r="G7" s="198">
        <v>220.32210999999998</v>
      </c>
      <c r="H7" s="198">
        <v>0.96975999999999996</v>
      </c>
      <c r="I7" s="198">
        <v>0.18332000000000001</v>
      </c>
      <c r="J7" s="198">
        <v>15.622760000000001</v>
      </c>
      <c r="K7" s="198">
        <v>12.566560000000001</v>
      </c>
      <c r="L7" s="198">
        <v>14.420959999999999</v>
      </c>
      <c r="M7" s="198">
        <v>413.61556000000002</v>
      </c>
    </row>
    <row r="8" spans="2:15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5.381429999999999</v>
      </c>
      <c r="F8" s="198">
        <v>187.22631000000004</v>
      </c>
      <c r="G8" s="198">
        <v>23.888359999999999</v>
      </c>
      <c r="H8" s="198">
        <v>7.9488500000000002</v>
      </c>
      <c r="I8" s="198">
        <v>11.874470000000001</v>
      </c>
      <c r="J8" s="198">
        <v>16.302049999999998</v>
      </c>
      <c r="K8" s="198">
        <v>10.390510000000003</v>
      </c>
      <c r="L8" s="198">
        <v>1.7527200000000001</v>
      </c>
      <c r="M8" s="198">
        <v>264.76470000000006</v>
      </c>
    </row>
    <row r="9" spans="2:15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4.0239599999999998</v>
      </c>
      <c r="F9" s="196">
        <v>20.646450000000002</v>
      </c>
      <c r="G9" s="196">
        <v>2183.1356799999999</v>
      </c>
      <c r="H9" s="196">
        <v>6.2575299999999991</v>
      </c>
      <c r="I9" s="196">
        <v>0</v>
      </c>
      <c r="J9" s="196">
        <v>12.632580000000001</v>
      </c>
      <c r="K9" s="196">
        <v>1.0118</v>
      </c>
      <c r="L9" s="196">
        <v>0</v>
      </c>
      <c r="M9" s="196">
        <v>2227.7080000000001</v>
      </c>
    </row>
    <row r="10" spans="2:15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1.13368</v>
      </c>
      <c r="F10" s="198">
        <v>0.71597</v>
      </c>
      <c r="G10" s="198">
        <v>1.115</v>
      </c>
      <c r="H10" s="198">
        <v>0.59000000000000008</v>
      </c>
      <c r="I10" s="198">
        <v>0</v>
      </c>
      <c r="J10" s="198">
        <v>0</v>
      </c>
      <c r="K10" s="198">
        <v>0</v>
      </c>
      <c r="L10" s="198">
        <v>0</v>
      </c>
      <c r="M10" s="198">
        <v>3.5546499999999996</v>
      </c>
    </row>
    <row r="11" spans="2:15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2.8902799999999997</v>
      </c>
      <c r="F11" s="198">
        <v>19.930480000000003</v>
      </c>
      <c r="G11" s="198">
        <v>2182.0206800000001</v>
      </c>
      <c r="H11" s="198">
        <v>5.6675299999999993</v>
      </c>
      <c r="I11" s="198">
        <v>0</v>
      </c>
      <c r="J11" s="198">
        <v>12.632580000000001</v>
      </c>
      <c r="K11" s="198">
        <v>1.0118</v>
      </c>
      <c r="L11" s="198">
        <v>0</v>
      </c>
      <c r="M11" s="198">
        <v>2224.1533500000005</v>
      </c>
    </row>
    <row r="12" spans="2:15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2.1906500000000002</v>
      </c>
      <c r="G12" s="198">
        <v>18560.498959999997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18562.689609999998</v>
      </c>
    </row>
    <row r="13" spans="2:15" ht="15" customHeight="1">
      <c r="B13" s="195"/>
      <c r="C13" s="104" t="str">
        <f>+IF(Índice!$D$2=1,"Transferências correntes","Current transfers")</f>
        <v>Transferências correntes</v>
      </c>
      <c r="D13" s="196">
        <v>775</v>
      </c>
      <c r="E13" s="196">
        <v>0</v>
      </c>
      <c r="F13" s="196">
        <v>4836.1254900000004</v>
      </c>
      <c r="G13" s="196">
        <v>567.61284000000001</v>
      </c>
      <c r="H13" s="196">
        <v>27957.2137</v>
      </c>
      <c r="I13" s="196">
        <v>3.9493200000000002</v>
      </c>
      <c r="J13" s="196">
        <v>821.65048000000002</v>
      </c>
      <c r="K13" s="196">
        <v>173.83718999999999</v>
      </c>
      <c r="L13" s="196">
        <v>294.7251</v>
      </c>
      <c r="M13" s="196">
        <v>35430.114119999998</v>
      </c>
    </row>
    <row r="14" spans="2:15" ht="15" customHeight="1">
      <c r="B14" s="195"/>
      <c r="C14" s="109" t="str">
        <f>IF(Índice!$D$2=1,"Administração Pública","Public Administration")</f>
        <v>Administração Pública</v>
      </c>
      <c r="D14" s="200">
        <v>775</v>
      </c>
      <c r="E14" s="200">
        <v>0</v>
      </c>
      <c r="F14" s="200">
        <v>1356.95506</v>
      </c>
      <c r="G14" s="200">
        <v>559.17627000000005</v>
      </c>
      <c r="H14" s="200">
        <v>27955.407670000001</v>
      </c>
      <c r="I14" s="200">
        <v>0</v>
      </c>
      <c r="J14" s="200">
        <v>819.85203999999999</v>
      </c>
      <c r="K14" s="200">
        <v>171.05728999999999</v>
      </c>
      <c r="L14" s="200">
        <v>291.99914000000001</v>
      </c>
      <c r="M14" s="200">
        <v>31929.447470000003</v>
      </c>
    </row>
    <row r="15" spans="2:15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Administração Regional</v>
      </c>
      <c r="D16" s="198">
        <v>775</v>
      </c>
      <c r="E16" s="198">
        <v>0</v>
      </c>
      <c r="F16" s="198">
        <v>1356.95506</v>
      </c>
      <c r="G16" s="198">
        <v>559.17627000000005</v>
      </c>
      <c r="H16" s="198">
        <v>27955.407670000001</v>
      </c>
      <c r="I16" s="198">
        <v>0</v>
      </c>
      <c r="J16" s="198">
        <v>819.85203999999999</v>
      </c>
      <c r="K16" s="198">
        <v>171.05728999999999</v>
      </c>
      <c r="L16" s="198">
        <v>291.99914000000001</v>
      </c>
      <c r="M16" s="198">
        <v>31929.447470000003</v>
      </c>
    </row>
    <row r="17" spans="2:13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3479.1704300000001</v>
      </c>
      <c r="G19" s="200">
        <v>8.4365699999999997</v>
      </c>
      <c r="H19" s="200">
        <v>1.8060299999999998</v>
      </c>
      <c r="I19" s="200">
        <v>3.9493200000000002</v>
      </c>
      <c r="J19" s="200">
        <v>1.7984399999999998</v>
      </c>
      <c r="K19" s="200">
        <v>2.7799</v>
      </c>
      <c r="L19" s="200">
        <v>2.7259599999999997</v>
      </c>
      <c r="M19" s="200">
        <v>3500.6666500000006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875.21085000000005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875.21085000000005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2076.9401700000003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2076.9401700000003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527.01941000000011</v>
      </c>
      <c r="G23" s="198">
        <v>8.4365699999999997</v>
      </c>
      <c r="H23" s="198">
        <v>1.8060299999999998</v>
      </c>
      <c r="I23" s="198">
        <v>3.9493200000000002</v>
      </c>
      <c r="J23" s="198">
        <v>1.7984399999999998</v>
      </c>
      <c r="K23" s="198">
        <v>2.7799</v>
      </c>
      <c r="L23" s="198">
        <v>2.7259599999999997</v>
      </c>
      <c r="M23" s="198">
        <v>548.5156300000001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</row>
    <row r="25" spans="2:13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</row>
    <row r="26" spans="2:13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2.90937</v>
      </c>
      <c r="G26" s="198">
        <v>19.953979999999998</v>
      </c>
      <c r="H26" s="198">
        <v>0</v>
      </c>
      <c r="I26" s="198">
        <v>0</v>
      </c>
      <c r="J26" s="198">
        <v>1.7859400000000001</v>
      </c>
      <c r="K26" s="198">
        <v>0</v>
      </c>
      <c r="L26" s="198">
        <v>0</v>
      </c>
      <c r="M26" s="198">
        <v>24.649289999999997</v>
      </c>
    </row>
    <row r="27" spans="2:13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0</v>
      </c>
      <c r="F27" s="32">
        <v>0</v>
      </c>
      <c r="G27" s="32">
        <v>2451.1455299999998</v>
      </c>
      <c r="H27" s="32">
        <v>0</v>
      </c>
      <c r="I27" s="32">
        <v>0</v>
      </c>
      <c r="J27" s="32">
        <v>425.93572</v>
      </c>
      <c r="K27" s="32">
        <v>11.53623</v>
      </c>
      <c r="L27" s="32">
        <v>0</v>
      </c>
      <c r="M27" s="32">
        <v>2888.6174799999999</v>
      </c>
    </row>
    <row r="28" spans="2:13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0</v>
      </c>
      <c r="G28" s="198">
        <v>111.14552999999999</v>
      </c>
      <c r="H28" s="198">
        <v>0</v>
      </c>
      <c r="I28" s="198">
        <v>0</v>
      </c>
      <c r="J28" s="198">
        <v>0</v>
      </c>
      <c r="K28" s="198">
        <v>11.53623</v>
      </c>
      <c r="L28" s="198">
        <v>0</v>
      </c>
      <c r="M28" s="198">
        <v>122.68176</v>
      </c>
    </row>
    <row r="29" spans="2:13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0</v>
      </c>
      <c r="G29" s="196">
        <v>2340</v>
      </c>
      <c r="H29" s="196">
        <v>0</v>
      </c>
      <c r="I29" s="196">
        <v>0</v>
      </c>
      <c r="J29" s="196">
        <v>425.93572</v>
      </c>
      <c r="K29" s="196">
        <v>0</v>
      </c>
      <c r="L29" s="196">
        <v>0</v>
      </c>
      <c r="M29" s="196">
        <v>2765.9357199999999</v>
      </c>
    </row>
    <row r="30" spans="2:13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425.93572</v>
      </c>
      <c r="K30" s="200">
        <v>0</v>
      </c>
      <c r="L30" s="200">
        <v>0</v>
      </c>
      <c r="M30" s="200">
        <v>425.93572</v>
      </c>
    </row>
    <row r="31" spans="2:13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425.93572</v>
      </c>
      <c r="K31" s="198">
        <v>0</v>
      </c>
      <c r="L31" s="198">
        <v>0</v>
      </c>
      <c r="M31" s="198">
        <v>425.93572</v>
      </c>
    </row>
    <row r="32" spans="2:13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</row>
    <row r="33" spans="1:168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2340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775</v>
      </c>
      <c r="E38" s="204">
        <v>117.28442999999999</v>
      </c>
      <c r="F38" s="204">
        <v>25912.622460000013</v>
      </c>
      <c r="G38" s="204">
        <v>25817.216319999992</v>
      </c>
      <c r="H38" s="204">
        <v>28297.35426</v>
      </c>
      <c r="I38" s="204">
        <v>985.70771999999988</v>
      </c>
      <c r="J38" s="204">
        <v>2955.093789999999</v>
      </c>
      <c r="K38" s="204">
        <v>1225.2019799999998</v>
      </c>
      <c r="L38" s="204">
        <v>767.35479000000009</v>
      </c>
      <c r="M38" s="204">
        <v>86852.835750000013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</row>
    <row r="41" spans="1:168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49459.339980000004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49459.339980000004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9310.1707200000001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06" t="str">
        <f>+IF(Índice!$D$2=1,"Fonte: Secretaria Regional das Finanças","Source: Regional Finance Secretariat")</f>
        <v>Fonte: Secretaria Regional das Finanças</v>
      </c>
      <c r="D46" s="306" t="str">
        <f>+IF(Índice!$D$2="PT","Fonte: Vice-Presidência do Governo Regional","Source: Vice-Presidency of the Regional Government")</f>
        <v>Source: Vice-Presidency of the Regional Government</v>
      </c>
      <c r="E46" s="306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16</vt:i4>
      </vt:variant>
    </vt:vector>
  </HeadingPairs>
  <TitlesOfParts>
    <vt:vector size="30" baseType="lpstr">
      <vt:lpstr>CAPA (PT)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2025-02-27T16:05:08Z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