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Janeiro\"/>
    </mc:Choice>
  </mc:AlternateContent>
  <xr:revisionPtr revIDLastSave="0" documentId="13_ncr:1_{46BAA68E-F395-4948-9FC6-E9048D35A839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" sheetId="13" r:id="rId11"/>
    <sheet name="Q10_SFA acumulado" sheetId="51" r:id="rId12"/>
    <sheet name="Q_11_12_13_14_Compromissos" sheetId="38" r:id="rId13"/>
    <sheet name="Pagamentos_Atraso " sheetId="53" r:id="rId14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Índice!$A$1:$D$18</definedName>
    <definedName name="_xlnm.Print_Area" localSheetId="13">'Pagamentos_Atraso '!$C$1:$C$67</definedName>
    <definedName name="_xlnm.Print_Area" localSheetId="12">Q_11_12_13_14_Compromissos!$C$1:$I$48</definedName>
    <definedName name="_xlnm.Print_Area" localSheetId="2">Q1_Consolidado!$C$1:$H$53</definedName>
    <definedName name="_xlnm.Print_Area" localSheetId="11">'Q10_SFA acumulado'!$C$1:$F$45</definedName>
    <definedName name="_xlnm.Print_Area" localSheetId="3">Q2_Global_Est!$C$1:$F$38</definedName>
    <definedName name="_xlnm.Print_Area" localSheetId="4">'Q3_ R_fiscal'!$C$1:$F$24</definedName>
    <definedName name="_xlnm.Print_Area" localSheetId="5">Q4_R_n_fiscal!$C$1:$F$25</definedName>
    <definedName name="_xlnm.Print_Area" localSheetId="6">'Q5_D_Est ECO'!$C$1:$H$39</definedName>
    <definedName name="_xlnm.Print_Area" localSheetId="7">Q6_D_Est_Func!$C$1:$F$22</definedName>
    <definedName name="_xlnm.Print_Area" localSheetId="8">Q7_D_Est_Org!$C$1:$N$45</definedName>
    <definedName name="_xlnm.Print_Area" localSheetId="9">'Q8_Saldo_Global EPR'!$C$1:$E$7</definedName>
    <definedName name="_xlnm.Print_Area" localSheetId="10">'Q9_SFA '!$C$1:$F$12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'!$Q:$Q</definedName>
    <definedName name="Z_0011D0C0_6BC7_4DE9_8F83_86F2D0A38DF4_.wvu.PrintArea" localSheetId="11" hidden="1">'Q10_SFA acumulado'!$C$1:$F$46</definedName>
    <definedName name="Z_0011D0C0_6BC7_4DE9_8F83_86F2D0A38DF4_.wvu.PrintArea" localSheetId="3" hidden="1">Q2_Global_Est!$B$1:$H$37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ECO'!$B$1:$H$40</definedName>
    <definedName name="Z_0011D0C0_6BC7_4DE9_8F83_86F2D0A38DF4_.wvu.PrintArea" localSheetId="7" hidden="1">Q6_D_Est_Func!$B$1:$F$22</definedName>
    <definedName name="Z_0011D0C0_6BC7_4DE9_8F83_86F2D0A38DF4_.wvu.PrintArea" localSheetId="8" hidden="1">Q7_D_Est_Org!$B$1:$AE$46</definedName>
    <definedName name="Z_0011D0C0_6BC7_4DE9_8F83_86F2D0A38DF4_.wvu.PrintArea" localSheetId="10" hidden="1">'Q9_SFA '!$C$1:$R$12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'!$Q:$Q</definedName>
    <definedName name="Z_2EA2D52B_13B2_48C6_A647_E974628AB287_.wvu.PrintArea" localSheetId="11" hidden="1">'Q10_SFA acumulado'!$C$1:$F$46</definedName>
    <definedName name="Z_2EA2D52B_13B2_48C6_A647_E974628AB287_.wvu.PrintArea" localSheetId="3" hidden="1">Q2_Global_Est!$B$1:$H$37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ECO'!$B$1:$H$40</definedName>
    <definedName name="Z_2EA2D52B_13B2_48C6_A647_E974628AB287_.wvu.PrintArea" localSheetId="7" hidden="1">Q6_D_Est_Func!$B$1:$F$22</definedName>
    <definedName name="Z_2EA2D52B_13B2_48C6_A647_E974628AB287_.wvu.PrintArea" localSheetId="8" hidden="1">Q7_D_Est_Org!$B$1:$AE$46</definedName>
    <definedName name="Z_2EA2D52B_13B2_48C6_A647_E974628AB287_.wvu.PrintArea" localSheetId="10" hidden="1">'Q9_SFA '!$C$1:$R$12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Q7_D_Est_Org!$O:$AC</definedName>
    <definedName name="Z_397AD331_8EE9_49A3_85C5_CAAF9519E963_.wvu.Cols" localSheetId="10" hidden="1">'Q9_SFA '!$Q:$Q</definedName>
    <definedName name="Z_397AD331_8EE9_49A3_85C5_CAAF9519E963_.wvu.PrintArea" localSheetId="11" hidden="1">'Q10_SFA acumulado'!$C$1:$F$46</definedName>
    <definedName name="Z_397AD331_8EE9_49A3_85C5_CAAF9519E963_.wvu.PrintArea" localSheetId="3" hidden="1">Q2_Global_Est!$B$1:$H$37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ECO'!$B$1:$H$40</definedName>
    <definedName name="Z_397AD331_8EE9_49A3_85C5_CAAF9519E963_.wvu.PrintArea" localSheetId="7" hidden="1">Q6_D_Est_Func!$B$1:$F$22</definedName>
    <definedName name="Z_397AD331_8EE9_49A3_85C5_CAAF9519E963_.wvu.PrintArea" localSheetId="8" hidden="1">Q7_D_Est_Org!$B$1:$AE$46</definedName>
    <definedName name="Z_397AD331_8EE9_49A3_85C5_CAAF9519E963_.wvu.PrintArea" localSheetId="10" hidden="1">'Q9_SFA '!$C$1:$R$12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'!$Q:$Q</definedName>
    <definedName name="Z_409D0809_DA86_4C14_803D_2162A19A44FF_.wvu.PrintArea" localSheetId="11" hidden="1">'Q10_SFA acumulado'!$C$1:$F$46</definedName>
    <definedName name="Z_409D0809_DA86_4C14_803D_2162A19A44FF_.wvu.PrintArea" localSheetId="3" hidden="1">Q2_Global_Est!$B$1:$H$37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ECO'!$B$1:$H$40</definedName>
    <definedName name="Z_409D0809_DA86_4C14_803D_2162A19A44FF_.wvu.PrintArea" localSheetId="7" hidden="1">Q6_D_Est_Func!$B$1:$F$22</definedName>
    <definedName name="Z_409D0809_DA86_4C14_803D_2162A19A44FF_.wvu.PrintArea" localSheetId="8" hidden="1">Q7_D_Est_Org!$B$1:$AE$46</definedName>
    <definedName name="Z_409D0809_DA86_4C14_803D_2162A19A44FF_.wvu.PrintArea" localSheetId="10" hidden="1">'Q9_SFA '!$C$1:$R$12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Q7_D_Est_Org!$O:$AC</definedName>
    <definedName name="Z_43AB44CB_B133_4B3C_9B24_AA3B4A5A58A7_.wvu.Cols" localSheetId="10" hidden="1">'Q9_SFA '!$Q:$Q</definedName>
    <definedName name="Z_43AB44CB_B133_4B3C_9B24_AA3B4A5A58A7_.wvu.PrintArea" localSheetId="11" hidden="1">'Q10_SFA acumulado'!$C$1:$F$46</definedName>
    <definedName name="Z_43AB44CB_B133_4B3C_9B24_AA3B4A5A58A7_.wvu.PrintArea" localSheetId="3" hidden="1">Q2_Global_Est!$B$1:$H$37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ECO'!$B$1:$H$40</definedName>
    <definedName name="Z_43AB44CB_B133_4B3C_9B24_AA3B4A5A58A7_.wvu.PrintArea" localSheetId="7" hidden="1">Q6_D_Est_Func!$B$1:$F$22</definedName>
    <definedName name="Z_43AB44CB_B133_4B3C_9B24_AA3B4A5A58A7_.wvu.PrintArea" localSheetId="8" hidden="1">Q7_D_Est_Org!$B$1:$AE$46</definedName>
    <definedName name="Z_43AB44CB_B133_4B3C_9B24_AA3B4A5A58A7_.wvu.PrintArea" localSheetId="10" hidden="1">'Q9_SFA '!$C$1:$R$12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Q7_D_Est_Org!$O:$AC</definedName>
    <definedName name="Z_60062E94_E9B0_4825_A812_182FE1DB6021_.wvu.Cols" localSheetId="10" hidden="1">'Q9_SFA '!$Q:$Q</definedName>
    <definedName name="Z_60062E94_E9B0_4825_A812_182FE1DB6021_.wvu.PrintArea" localSheetId="11" hidden="1">'Q10_SFA acumulado'!$C$1:$F$46</definedName>
    <definedName name="Z_60062E94_E9B0_4825_A812_182FE1DB6021_.wvu.PrintArea" localSheetId="3" hidden="1">Q2_Global_Est!$B$1:$H$37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ECO'!$B$1:$H$40</definedName>
    <definedName name="Z_60062E94_E9B0_4825_A812_182FE1DB6021_.wvu.PrintArea" localSheetId="7" hidden="1">Q6_D_Est_Func!$B$1:$F$22</definedName>
    <definedName name="Z_60062E94_E9B0_4825_A812_182FE1DB6021_.wvu.PrintArea" localSheetId="8" hidden="1">Q7_D_Est_Org!$B$1:$AE$46</definedName>
    <definedName name="Z_60062E94_E9B0_4825_A812_182FE1DB6021_.wvu.PrintArea" localSheetId="10" hidden="1">'Q9_SFA '!$C$1:$R$12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Q7_D_Est_Org!$O:$AC</definedName>
    <definedName name="Z_995CCCB8_BF97_4653_A7C0_86012B807DB5_.wvu.Cols" localSheetId="10" hidden="1">'Q9_SFA '!$Q:$Q</definedName>
    <definedName name="Z_995CCCB8_BF97_4653_A7C0_86012B807DB5_.wvu.PrintArea" localSheetId="11" hidden="1">'Q10_SFA acumulado'!$C$1:$F$46</definedName>
    <definedName name="Z_995CCCB8_BF97_4653_A7C0_86012B807DB5_.wvu.PrintArea" localSheetId="3" hidden="1">Q2_Global_Est!$B$1:$H$37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ECO'!$B$1:$H$40</definedName>
    <definedName name="Z_995CCCB8_BF97_4653_A7C0_86012B807DB5_.wvu.PrintArea" localSheetId="7" hidden="1">Q6_D_Est_Func!$B$1:$F$22</definedName>
    <definedName name="Z_995CCCB8_BF97_4653_A7C0_86012B807DB5_.wvu.PrintArea" localSheetId="8" hidden="1">Q7_D_Est_Org!$B$1:$AE$46</definedName>
    <definedName name="Z_995CCCB8_BF97_4653_A7C0_86012B807DB5_.wvu.PrintArea" localSheetId="10" hidden="1">'Q9_SFA '!$C$1:$R$12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Q7_D_Est_Org!$O:$AC</definedName>
    <definedName name="Z_9C8E7FE3_A7A1_4D36_A156_3751861446D4_.wvu.Cols" localSheetId="10" hidden="1">'Q9_SFA '!$Q:$Q</definedName>
    <definedName name="Z_9C8E7FE3_A7A1_4D36_A156_3751861446D4_.wvu.PrintArea" localSheetId="11" hidden="1">'Q10_SFA acumulado'!$C$1:$F$46</definedName>
    <definedName name="Z_9C8E7FE3_A7A1_4D36_A156_3751861446D4_.wvu.PrintArea" localSheetId="3" hidden="1">Q2_Global_Est!$B$1:$H$37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ECO'!$B$1:$H$40</definedName>
    <definedName name="Z_9C8E7FE3_A7A1_4D36_A156_3751861446D4_.wvu.PrintArea" localSheetId="7" hidden="1">Q6_D_Est_Func!$B$1:$F$22</definedName>
    <definedName name="Z_9C8E7FE3_A7A1_4D36_A156_3751861446D4_.wvu.PrintArea" localSheetId="8" hidden="1">Q7_D_Est_Org!$B$1:$AE$46</definedName>
    <definedName name="Z_9C8E7FE3_A7A1_4D36_A156_3751861446D4_.wvu.PrintArea" localSheetId="10" hidden="1">'Q9_SFA '!$C$1:$R$12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Q7_D_Est_Org!$O:$AC</definedName>
    <definedName name="Z_B22C7842_6BF9_4A1C_B06C_2AD9B9A784D4_.wvu.Cols" localSheetId="10" hidden="1">'Q9_SFA '!$Q:$Q</definedName>
    <definedName name="Z_B22C7842_6BF9_4A1C_B06C_2AD9B9A784D4_.wvu.PrintArea" localSheetId="11" hidden="1">'Q10_SFA acumulado'!$C$1:$F$46</definedName>
    <definedName name="Z_B22C7842_6BF9_4A1C_B06C_2AD9B9A784D4_.wvu.PrintArea" localSheetId="3" hidden="1">Q2_Global_Est!$B$1:$H$37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ECO'!$B$1:$H$40</definedName>
    <definedName name="Z_B22C7842_6BF9_4A1C_B06C_2AD9B9A784D4_.wvu.PrintArea" localSheetId="7" hidden="1">Q6_D_Est_Func!$B$1:$F$22</definedName>
    <definedName name="Z_B22C7842_6BF9_4A1C_B06C_2AD9B9A784D4_.wvu.PrintArea" localSheetId="8" hidden="1">Q7_D_Est_Org!$B$1:$AE$46</definedName>
    <definedName name="Z_B22C7842_6BF9_4A1C_B06C_2AD9B9A784D4_.wvu.PrintArea" localSheetId="10" hidden="1">'Q9_SFA '!$C$1:$R$12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Q2_Global_Est!$C$1:$F$37</definedName>
    <definedName name="Z_C2013F6E_CF9D_4172_87F3_B954A090B414_.wvu.PrintArea" localSheetId="6" hidden="1">'Q5_D_Est ECO'!$C$1:$H$39</definedName>
    <definedName name="Z_C2013F6E_CF9D_4172_87F3_B954A090B414_.wvu.PrintArea" localSheetId="7" hidden="1">Q6_D_Est_Func!$C$1:$F$22</definedName>
    <definedName name="Z_C2013F6E_CF9D_4172_87F3_B954A090B414_.wvu.PrintArea" localSheetId="8" hidden="1">Q7_D_Est_Org!$D$1:$N$46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Q7_D_Est_Org!$O:$AC</definedName>
    <definedName name="Z_DB1D3FDB_E0D5_4FD7_BD6E_EC28675EBF68_.wvu.Cols" localSheetId="10" hidden="1">'Q9_SFA '!$Q:$Q</definedName>
    <definedName name="Z_DB1D3FDB_E0D5_4FD7_BD6E_EC28675EBF68_.wvu.PrintArea" localSheetId="11" hidden="1">'Q10_SFA acumulado'!$C$1:$F$46</definedName>
    <definedName name="Z_DB1D3FDB_E0D5_4FD7_BD6E_EC28675EBF68_.wvu.PrintArea" localSheetId="3" hidden="1">Q2_Global_Est!$B$1:$H$37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ECO'!$B$1:$H$40</definedName>
    <definedName name="Z_DB1D3FDB_E0D5_4FD7_BD6E_EC28675EBF68_.wvu.PrintArea" localSheetId="7" hidden="1">Q6_D_Est_Func!$B$1:$F$22</definedName>
    <definedName name="Z_DB1D3FDB_E0D5_4FD7_BD6E_EC28675EBF68_.wvu.PrintArea" localSheetId="8" hidden="1">Q7_D_Est_Org!$B$1:$AE$46</definedName>
    <definedName name="Z_DB1D3FDB_E0D5_4FD7_BD6E_EC28675EBF68_.wvu.PrintArea" localSheetId="10" hidden="1">'Q9_SFA '!$C$1:$R$12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Q7_D_Est_Org!$O:$AC</definedName>
    <definedName name="Z_EBA68B69_6D6E_44F8_8C51_9491A55275C5_.wvu.Cols" localSheetId="10" hidden="1">'Q9_SFA '!$Q:$Q</definedName>
    <definedName name="Z_EBA68B69_6D6E_44F8_8C51_9491A55275C5_.wvu.PrintArea" localSheetId="11" hidden="1">'Q10_SFA acumulado'!$C$1:$F$46</definedName>
    <definedName name="Z_EBA68B69_6D6E_44F8_8C51_9491A55275C5_.wvu.PrintArea" localSheetId="3" hidden="1">Q2_Global_Est!$B$1:$H$37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ECO'!$B$1:$H$40</definedName>
    <definedName name="Z_EBA68B69_6D6E_44F8_8C51_9491A55275C5_.wvu.PrintArea" localSheetId="7" hidden="1">Q6_D_Est_Func!$B$1:$F$22</definedName>
    <definedName name="Z_EBA68B69_6D6E_44F8_8C51_9491A55275C5_.wvu.PrintArea" localSheetId="8" hidden="1">Q7_D_Est_Org!$B$1:$AE$46</definedName>
    <definedName name="Z_EBA68B69_6D6E_44F8_8C51_9491A55275C5_.wvu.PrintArea" localSheetId="10" hidden="1">'Q9_SFA '!$C$1:$R$12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8" l="1"/>
  <c r="C2" i="38"/>
  <c r="D42" i="38"/>
  <c r="C41" i="38"/>
  <c r="D33" i="38"/>
  <c r="C32" i="38"/>
  <c r="D24" i="38"/>
  <c r="C23" i="38"/>
  <c r="C2" i="51"/>
  <c r="C2" i="13"/>
  <c r="C2" i="39"/>
  <c r="C2" i="12"/>
  <c r="C2" i="11"/>
  <c r="C2" i="10"/>
  <c r="C2" i="50"/>
  <c r="C2" i="9"/>
  <c r="C2" i="8"/>
  <c r="C2" i="32"/>
  <c r="G3" i="32"/>
  <c r="A18" i="54"/>
  <c r="E2" i="53"/>
  <c r="G3" i="12"/>
  <c r="K3" i="12"/>
  <c r="H3" i="12"/>
  <c r="F3" i="11" l="1"/>
  <c r="L3" i="12"/>
  <c r="M3" i="12"/>
  <c r="I3" i="12" l="1"/>
  <c r="J3" i="12"/>
  <c r="A13" i="54" l="1"/>
  <c r="A16" i="54" l="1"/>
  <c r="A15" i="54"/>
  <c r="A14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7" i="54" l="1"/>
  <c r="F3" i="12" l="1"/>
  <c r="A5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2" i="54" l="1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<sst xmlns="http://schemas.openxmlformats.org/spreadsheetml/2006/main" count="133" uniqueCount="105">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</sst>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26" fillId="0" borderId="124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0" fontId="70" fillId="0" borderId="3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P5" sqref="P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4" sqref="D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TABLE VIII - RPEs global balance (january)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10877.011939999997</v>
      </c>
      <c r="E5" s="82">
        <v>11770.07564000001</v>
      </c>
    </row>
    <row r="6" spans="2:7">
      <c r="B6" s="29"/>
      <c r="C6" s="103"/>
      <c r="D6" s="103"/>
      <c r="E6" s="103"/>
    </row>
    <row r="7" spans="2:7">
      <c r="B7" s="29"/>
      <c r="C7" s="304" t="str">
        <f>+IF(Índice!$D$2=1,"Fonte: Secretaria Regional das Finanças","Source: Regional Finance Secretariat")</f>
        <v>Source: Regional Finance Secretariat</v>
      </c>
      <c r="D7" s="304" t="str">
        <f>+IF(Índice!$D$2="PT","Fonte: Vice-Presidência do Governo Regional","Source: Vice-Presidency of the Regional Government")</f>
        <v>Source: Vice-Presidency of the Regional Government</v>
      </c>
      <c r="E7" s="30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5" sqref="K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5" t="str">
        <f>+IF(Índice!$D$2=1,"QUADRO IX - Execução orçamental dos Serviços e Fundos Autónomos e EPR (janeiro)","TABLE IX - ASFs and RPEs budget execution (january)")</f>
        <v>TABLE IX - ASFs and RPEs budget execution (january)</v>
      </c>
      <c r="D2" s="306"/>
      <c r="E2" s="30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5215.0754700000107</v>
      </c>
      <c r="E4" s="98">
        <v>11770.07564000001</v>
      </c>
      <c r="F4" s="98">
        <v>16985.151110000021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37248.126879999996</v>
      </c>
      <c r="E7" s="74">
        <v>21785.408549999996</v>
      </c>
      <c r="F7" s="74">
        <v>59033.535429999989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5215.8614000000107</v>
      </c>
      <c r="E8" s="74">
        <v>11770.48671000001</v>
      </c>
      <c r="F8" s="74">
        <v>16986.348110000021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4396.9540400000114</v>
      </c>
      <c r="E9" s="74">
        <v>10510.170660000007</v>
      </c>
      <c r="F9" s="74">
        <v>14907.124700000015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818.12142999999992</v>
      </c>
      <c r="E10" s="74">
        <v>1259.9049800000003</v>
      </c>
      <c r="F10" s="74">
        <v>2078.0264100000004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4" t="str">
        <f>+IF(Índice!$D$2=1,"Fonte: Secretaria Regional das Finanças","Source: Regional Finance Secretariat")</f>
        <v>Source: Regional Finance Secretariat</v>
      </c>
      <c r="D12" s="304" t="str">
        <f>+IF(Índice!$D$2="PT","Fonte: Vice-Presidência do Governo Regional","Source: Vice-Presidency of the Regional Government")</f>
        <v>Source: Vice-Presidency of the Regional Government</v>
      </c>
      <c r="E12" s="30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 - Execução orçamental dos Serviços e Fundos Autónomos e EPR (janeiro)","TABLE X - ASFs and RPEs budget execution (january)")</f>
        <v>TABLE X - ASFs and RPEs budget execution (january)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41645.766860000003</v>
      </c>
      <c r="E4" s="108">
        <v>32103.394760000003</v>
      </c>
      <c r="F4" s="108">
        <v>73749.161619999999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896.81236000000001</v>
      </c>
      <c r="E8" s="74">
        <v>1050.3433200000002</v>
      </c>
      <c r="F8" s="74">
        <v>1947.1556800000003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40464.844749999997</v>
      </c>
      <c r="E9" s="74">
        <v>28610.700140000004</v>
      </c>
      <c r="F9" s="74">
        <v>69075.544890000005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3620.1388199999997</v>
      </c>
      <c r="E10" s="74">
        <v>342.32373000000001</v>
      </c>
      <c r="F10" s="74">
        <v>3962.4625499999997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36675.116869999998</v>
      </c>
      <c r="E11" s="74">
        <v>28268.376410000004</v>
      </c>
      <c r="F11" s="74">
        <v>64943.493280000002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259.14598000000007</v>
      </c>
      <c r="E12" s="74">
        <v>605.95380000000011</v>
      </c>
      <c r="F12" s="74">
        <v>865.09978000000024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24.963770000000004</v>
      </c>
      <c r="E13" s="74">
        <v>1836.3974999999998</v>
      </c>
      <c r="F13" s="74">
        <v>1861.3612699999999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818.22141999999997</v>
      </c>
      <c r="E14" s="83">
        <v>1452.5005000000003</v>
      </c>
      <c r="F14" s="83">
        <v>2270.7219200000004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17.928000000000001</v>
      </c>
      <c r="F15" s="34">
        <v>17.928000000000001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802.798</v>
      </c>
      <c r="E16" s="34">
        <v>1430.3252600000001</v>
      </c>
      <c r="F16" s="74">
        <v>2233.1232600000003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134.798</v>
      </c>
      <c r="E17" s="34">
        <v>919.50798999999995</v>
      </c>
      <c r="F17" s="74">
        <v>1054.3059899999998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668</v>
      </c>
      <c r="E18" s="74">
        <v>510.81727000000012</v>
      </c>
      <c r="F18" s="74">
        <v>1178.81727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1.69953</v>
      </c>
      <c r="F19" s="74">
        <v>1.69953</v>
      </c>
    </row>
    <row r="20" spans="2:6" ht="11.25" customHeight="1">
      <c r="C20" s="110" t="str">
        <f>+IF(Índice!$D$2=1,"Receita efetiva","Effective revenue")</f>
        <v>Effective revenue</v>
      </c>
      <c r="D20" s="83">
        <v>42463.988280000005</v>
      </c>
      <c r="E20" s="83">
        <v>33555.895260000005</v>
      </c>
      <c r="F20" s="83">
        <v>76019.88354000001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37248.812819999992</v>
      </c>
      <c r="E22" s="83">
        <v>21593.224099999996</v>
      </c>
      <c r="F22" s="83">
        <v>58842.036919999984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4005.6411300000004</v>
      </c>
      <c r="E23" s="74">
        <v>17101.317029999995</v>
      </c>
      <c r="F23" s="74">
        <v>21106.958159999995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944.48815999999999</v>
      </c>
      <c r="E24" s="74">
        <v>3312.1797099999999</v>
      </c>
      <c r="F24" s="74">
        <v>4256.6678700000002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0.78593000000000002</v>
      </c>
      <c r="E25" s="74">
        <v>0.41107000000000005</v>
      </c>
      <c r="F25" s="74">
        <v>1.1970000000000001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30044.383079999992</v>
      </c>
      <c r="E26" s="74">
        <v>1130.18614</v>
      </c>
      <c r="F26" s="74">
        <v>31174.569219999994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416.59476000000001</v>
      </c>
      <c r="E27" s="74">
        <v>0</v>
      </c>
      <c r="F27" s="59">
        <v>416.59476000000001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29627.788319999992</v>
      </c>
      <c r="E28" s="74">
        <v>1130.18614</v>
      </c>
      <c r="F28" s="59">
        <v>30757.974459999994</v>
      </c>
    </row>
    <row r="29" spans="2:6" ht="11.25" customHeight="1">
      <c r="C29" s="104" t="str">
        <f>+IF(Índice!$D$2=1,"Subsídios","Subsidies")</f>
        <v>Subsidies</v>
      </c>
      <c r="D29" s="74">
        <v>2251.8731899999998</v>
      </c>
      <c r="E29" s="74">
        <v>0</v>
      </c>
      <c r="F29" s="74">
        <v>2251.8731899999998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1.6413300000000002</v>
      </c>
      <c r="E30" s="74">
        <v>49.13015</v>
      </c>
      <c r="F30" s="74">
        <v>50.771480000000004</v>
      </c>
    </row>
    <row r="31" spans="2:6" ht="11.25" customHeight="1">
      <c r="C31" s="110" t="str">
        <f>+IF(Índice!$D$2=1,"Despesa de capital","Capital expenditure")</f>
        <v>Capital expenditure</v>
      </c>
      <c r="D31" s="83">
        <v>9.9990000000000009E-2</v>
      </c>
      <c r="E31" s="83">
        <v>192.59552000000002</v>
      </c>
      <c r="F31" s="83">
        <v>192.69551000000001</v>
      </c>
    </row>
    <row r="32" spans="2:6" ht="11.25" customHeight="1">
      <c r="C32" s="104" t="str">
        <f>+IF(Índice!$D$2=1,"Investimento","Investment")</f>
        <v>Investment</v>
      </c>
      <c r="D32" s="74">
        <v>9.9990000000000009E-2</v>
      </c>
      <c r="E32" s="74">
        <v>174.83552000000003</v>
      </c>
      <c r="F32" s="74">
        <v>174.93551000000002</v>
      </c>
    </row>
    <row r="33" spans="3:6" ht="11.25" customHeight="1">
      <c r="C33" s="104" t="str">
        <f>+IF(Índice!$D$2=1,"Transferências capital","Capital transfers")</f>
        <v>Capital transfers</v>
      </c>
      <c r="D33" s="74">
        <v>0</v>
      </c>
      <c r="E33" s="74">
        <v>17.760000000000002</v>
      </c>
      <c r="F33" s="74">
        <v>17.760000000000002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37248.912809999994</v>
      </c>
      <c r="E36" s="83">
        <v>21785.819619999995</v>
      </c>
      <c r="F36" s="83">
        <v>59034.732429999989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354.31900000000002</v>
      </c>
      <c r="E38" s="35">
        <v>0</v>
      </c>
      <c r="F38" s="35">
        <v>354.31900000000002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5215.0754700000107</v>
      </c>
      <c r="E44" s="114">
        <v>11770.07564000001</v>
      </c>
      <c r="F44" s="114">
        <v>16985.151110000021</v>
      </c>
    </row>
    <row r="45" spans="3:6" ht="15" customHeight="1">
      <c r="C45" s="304" t="str">
        <f>+IF(Índice!$D$2=1,"Fonte: Secretaria Regional das Finanças","Source: Regional Finance Secretariat")</f>
        <v>Source: Regional Finance Secretariat</v>
      </c>
      <c r="D45" s="304" t="str">
        <f>+IF(Índice!$D$2="PT","Fonte: Vice-Presidência do Governo Regional","Source: Vice-Presidency of the Regional Government")</f>
        <v>Source: Vice-Presidency of the Regional Government</v>
      </c>
      <c r="E45" s="30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5" sqref="K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2026 (valores acumulados)","Table XI- Accounts payable of the Regional Administration, january (accumulated)")</f>
        <v>Table XI- Accounts payable of the Regional Administration, january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07" t="s">
        <v>7</v>
      </c>
      <c r="D3" s="308" t="str">
        <f>+IF(Índice!$D$2=1,"janeiro 2026","january 2026")</f>
        <v>january 2026</v>
      </c>
      <c r="E3" s="308" t="str">
        <f>+IF(Índice!$D$2="PT","janeiro 2020","January")</f>
        <v>January</v>
      </c>
      <c r="F3" s="308" t="str">
        <f>+IF(Índice!$D$2="PT","janeiro 2020","January")</f>
        <v>January</v>
      </c>
      <c r="G3" s="309" t="str">
        <f>+IF(Índice!$D$2=1,"Variação face ao stock inicial de janeiro","Change from period initial stock")</f>
        <v>Change from period initial stock</v>
      </c>
      <c r="H3" s="310"/>
      <c r="I3" s="310"/>
    </row>
    <row r="4" spans="2:11" ht="12.75" customHeight="1">
      <c r="C4" s="307"/>
      <c r="D4" s="311" t="str">
        <f>+IF(Índice!$D$2=1,"Stock final do período","Accumulated")</f>
        <v>Accumulated</v>
      </c>
      <c r="E4" s="311"/>
      <c r="F4" s="311"/>
      <c r="G4" s="312" t="str">
        <f>+IF(Índice!$D$2=1,"Passivo","Liabilities")</f>
        <v>Liabilities</v>
      </c>
      <c r="H4" s="312" t="str">
        <f>+IF(Índice!$D$2=1,"Contas a pagar","Accounts payable")</f>
        <v>Accounts payable</v>
      </c>
      <c r="I4" s="314" t="str">
        <f>+IF(Índice!$D$2=1,"Pagamentos em atraso","Late payments")</f>
        <v>Late payments</v>
      </c>
    </row>
    <row r="5" spans="2:11" ht="22.5">
      <c r="B5" s="29"/>
      <c r="C5" s="307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13"/>
      <c r="H5" s="313"/>
      <c r="I5" s="315"/>
    </row>
    <row r="6" spans="2:11">
      <c r="B6" s="29"/>
      <c r="C6" s="119" t="str">
        <f>+IF(Índice!$D$2=1,"Despesa corrente","Current expenditure")</f>
        <v>Current expenditure</v>
      </c>
      <c r="D6" s="162">
        <v>196556159.09999999</v>
      </c>
      <c r="E6" s="162">
        <v>183218025.51999998</v>
      </c>
      <c r="F6" s="162">
        <v>22209657.300000001</v>
      </c>
      <c r="G6" s="91">
        <v>0.18663955965433709</v>
      </c>
      <c r="H6" s="91">
        <v>0.14733728374818011</v>
      </c>
      <c r="I6" s="116">
        <v>0.21920351313626574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11515401.459999999</v>
      </c>
      <c r="E7" s="165">
        <v>10642964.41</v>
      </c>
      <c r="F7" s="165">
        <v>156707.60999999999</v>
      </c>
      <c r="G7" s="95">
        <v>1.2636637712143388</v>
      </c>
      <c r="H7" s="95">
        <v>1.3210351874232806</v>
      </c>
      <c r="I7" s="121">
        <v>-3.4418695870825911E-3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133095059.07999998</v>
      </c>
      <c r="E8" s="165">
        <v>132108515.30999997</v>
      </c>
      <c r="F8" s="165">
        <v>19595960.259999998</v>
      </c>
      <c r="G8" s="95">
        <v>0.41819987158998884</v>
      </c>
      <c r="H8" s="95">
        <v>0.41256430627595275</v>
      </c>
      <c r="I8" s="121">
        <v>0.23899250501779634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7942029.0099999998</v>
      </c>
      <c r="E9" s="165">
        <v>4524380.0399999991</v>
      </c>
      <c r="F9" s="165">
        <v>2057480.54</v>
      </c>
      <c r="G9" s="95">
        <v>0.30224188516844475</v>
      </c>
      <c r="H9" s="95">
        <v>0.68751552610462552</v>
      </c>
      <c r="I9" s="121">
        <v>7.367020616943365E-2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43244898.049999997</v>
      </c>
      <c r="E10" s="165">
        <v>35288539.869999997</v>
      </c>
      <c r="F10" s="165">
        <v>399457.89</v>
      </c>
      <c r="G10" s="95">
        <v>-0.28625508277612366</v>
      </c>
      <c r="H10" s="95">
        <v>-0.400753968150106</v>
      </c>
      <c r="I10" s="121">
        <v>0.22203228842586209</v>
      </c>
    </row>
    <row r="11" spans="2:11">
      <c r="B11" s="29"/>
      <c r="C11" s="120" t="str">
        <f>+IF(Índice!$D$2=1,"Subsídios","Subsidies")</f>
        <v>Subsidies</v>
      </c>
      <c r="D11" s="165">
        <v>713434.4800000001</v>
      </c>
      <c r="E11" s="165">
        <v>616353.18000000005</v>
      </c>
      <c r="F11" s="165">
        <v>0</v>
      </c>
      <c r="G11" s="95">
        <v>3050.9955509924716</v>
      </c>
      <c r="H11" s="95">
        <v>2635.692248459959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45337.020000000004</v>
      </c>
      <c r="E12" s="165">
        <v>37272.71</v>
      </c>
      <c r="F12" s="165">
        <v>51</v>
      </c>
      <c r="G12" s="95">
        <v>1.4709381352837623</v>
      </c>
      <c r="H12" s="95">
        <v>2.4259737394813152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30238744.220000006</v>
      </c>
      <c r="E13" s="163">
        <v>22889496.970000003</v>
      </c>
      <c r="F13" s="163">
        <v>174322.16999999998</v>
      </c>
      <c r="G13" s="92">
        <v>6.4795589733805503E-2</v>
      </c>
      <c r="H13" s="92">
        <v>8.739617184676951E-2</v>
      </c>
      <c r="I13" s="117">
        <v>0.20446898586245155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18829150.699999999</v>
      </c>
      <c r="E14" s="165">
        <v>12072881.940000001</v>
      </c>
      <c r="F14" s="165">
        <v>174322.16999999998</v>
      </c>
      <c r="G14" s="95">
        <v>4.4554995548166998E-2</v>
      </c>
      <c r="H14" s="95">
        <v>7.1224853172127567E-2</v>
      </c>
      <c r="I14" s="121">
        <v>0.20446898586245155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11409593.520000001</v>
      </c>
      <c r="E15" s="165">
        <v>10816615.030000001</v>
      </c>
      <c r="F15" s="165">
        <v>0</v>
      </c>
      <c r="G15" s="95">
        <v>9.9970545672766198E-2</v>
      </c>
      <c r="H15" s="95">
        <v>0.10603214713972098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226794903.31999999</v>
      </c>
      <c r="E17" s="164">
        <v>206107522.48999998</v>
      </c>
      <c r="F17" s="164">
        <v>22383979.469999999</v>
      </c>
      <c r="G17" s="147">
        <v>0.1688071061102836</v>
      </c>
      <c r="H17" s="147">
        <v>0.14035624663954049</v>
      </c>
      <c r="I17" s="148">
        <v>0.21908737075073526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152945730.64000002</v>
      </c>
      <c r="E19" s="164">
        <v>132270833.75000001</v>
      </c>
      <c r="F19" s="164">
        <v>6031404.2699999996</v>
      </c>
      <c r="G19" s="147">
        <v>0.23521704501617213</v>
      </c>
      <c r="H19" s="147">
        <v>0.19665965851747558</v>
      </c>
      <c r="I19" s="148">
        <v>0.31583040661048423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2026 (valores acumulados)","Table XII - Accounts payable of the Regional Gov., january (accumulated)")</f>
        <v>Table XII - Accounts payable of the Regional Gov., january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07" t="str">
        <f>+IF(Índice!$D$2=1,"Governo Regional","Regional Government")</f>
        <v>Regional Government</v>
      </c>
      <c r="D24" s="308" t="str">
        <f>+IF(Índice!$D$2=1,"janeiro 2026","january 2026")</f>
        <v>january 2026</v>
      </c>
      <c r="E24" s="308" t="str">
        <f>+IF(Índice!$D$2="PT","janeiro 2020","January")</f>
        <v>January</v>
      </c>
      <c r="F24" s="308" t="str">
        <f>+IF(Índice!$D$2="PT","janeiro 2020","January")</f>
        <v>January</v>
      </c>
      <c r="G24" s="309" t="str">
        <f>+IF(Índice!$D$2=1,"Variação face ao stock inicial de janeiro","Change from january initial stock")</f>
        <v>Change from january initial stock</v>
      </c>
      <c r="H24" s="310"/>
      <c r="I24" s="310"/>
    </row>
    <row r="25" spans="2:9" ht="22.5" customHeight="1">
      <c r="B25" s="29"/>
      <c r="C25" s="307"/>
      <c r="D25" s="311" t="str">
        <f>+IF(Índice!$D$2=1,"Stock final do período","Accumulated")</f>
        <v>Accumulated</v>
      </c>
      <c r="E25" s="311"/>
      <c r="F25" s="311"/>
      <c r="G25" s="312" t="str">
        <f>+IF(Índice!$D$2=1,"Passivo","Liabilities")</f>
        <v>Liabilities</v>
      </c>
      <c r="H25" s="312" t="str">
        <f>+IF(Índice!$D$2=1,"Contas a pagar","Accounts payable")</f>
        <v>Accounts payable</v>
      </c>
      <c r="I25" s="314" t="str">
        <f>+IF(Índice!$D$2=1,"Pagamentos em atraso","Late payments")</f>
        <v>Late payments</v>
      </c>
    </row>
    <row r="26" spans="2:9" ht="22.5">
      <c r="B26" s="29"/>
      <c r="C26" s="307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13"/>
      <c r="H26" s="313"/>
      <c r="I26" s="315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52315290.739999995</v>
      </c>
      <c r="E27" s="162">
        <v>43104409.620000005</v>
      </c>
      <c r="F27" s="162">
        <v>1209010.4499999997</v>
      </c>
      <c r="G27" s="91">
        <v>5.594809672732783</v>
      </c>
      <c r="H27" s="91">
        <v>6.4916037871553467</v>
      </c>
      <c r="I27" s="116">
        <v>2.4808657990049721E-3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20850286.130000003</v>
      </c>
      <c r="E28" s="163">
        <v>16254834.630000003</v>
      </c>
      <c r="F28" s="163">
        <v>630</v>
      </c>
      <c r="G28" s="92">
        <v>5.1857962357408027E-2</v>
      </c>
      <c r="H28" s="172">
        <v>6.747829312851561E-2</v>
      </c>
      <c r="I28" s="117">
        <v>0</v>
      </c>
    </row>
    <row r="29" spans="2:9" ht="20.100000000000001" customHeight="1">
      <c r="B29" s="29"/>
      <c r="C29" s="146" t="s">
        <v>7</v>
      </c>
      <c r="D29" s="164">
        <v>73165576.870000005</v>
      </c>
      <c r="E29" s="164">
        <v>59359244.250000007</v>
      </c>
      <c r="F29" s="164">
        <v>1209640.4499999997</v>
      </c>
      <c r="G29" s="147">
        <v>1.6361093158809172</v>
      </c>
      <c r="H29" s="147">
        <v>1.8291881501444007</v>
      </c>
      <c r="I29" s="148">
        <v>2.4795705208198182E-3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2026 (valores acumulados)","Table XIII - Accounts payable of the ASFs, january (accumulated)")</f>
        <v>Table XIII - Accounts payable of the ASFs, january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16" t="str">
        <f>+IF(Índice!$D$2=1,"Serviços e Fundos Autónomos","Autonomous Services and Funds")</f>
        <v>Autonomous Services and Funds</v>
      </c>
      <c r="D33" s="308" t="str">
        <f>+IF(Índice!$D$2=1,"janeiro 2026","january 2026")</f>
        <v>january 2026</v>
      </c>
      <c r="E33" s="308" t="str">
        <f>+IF(Índice!$D$2="PT","janeiro 2020","January")</f>
        <v>January</v>
      </c>
      <c r="F33" s="308" t="str">
        <f>+IF(Índice!$D$2="PT","janeiro 2020","January")</f>
        <v>January</v>
      </c>
      <c r="G33" s="309" t="str">
        <f>+IF(Índice!$D$2=1,"Variação face ao stock inicial de janeiro","Change from january initial stock")</f>
        <v>Change from january initial stock</v>
      </c>
      <c r="H33" s="310"/>
      <c r="I33" s="310"/>
    </row>
    <row r="34" spans="2:9" ht="12.75" customHeight="1">
      <c r="C34" s="317"/>
      <c r="D34" s="319" t="str">
        <f>+IF(Índice!$D$2=1,"Stock final do período","Accumulated")</f>
        <v>Accumulated</v>
      </c>
      <c r="E34" s="320"/>
      <c r="F34" s="321"/>
      <c r="G34" s="322" t="str">
        <f>+IF(Índice!$D$2=1,"Passivo","Liabilities")</f>
        <v>Liabilities</v>
      </c>
      <c r="H34" s="322" t="str">
        <f>+IF(Índice!$D$2=1,"Contas a pagar","Accounts payable")</f>
        <v>Accounts payable</v>
      </c>
      <c r="I34" s="314" t="str">
        <f>+IF(Índice!$D$2=1,"Pagamentos em atraso","Late payments")</f>
        <v>Late payments</v>
      </c>
    </row>
    <row r="35" spans="2:9" ht="22.5">
      <c r="C35" s="318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13"/>
      <c r="H35" s="313"/>
      <c r="I35" s="315"/>
    </row>
    <row r="36" spans="2:9" ht="20.100000000000001" customHeight="1">
      <c r="C36" s="115" t="str">
        <f>+IF(Índice!$D$2=1,"Despesa corrente","Current expenditure")</f>
        <v>Current expenditure</v>
      </c>
      <c r="D36" s="162">
        <v>73869816.800000012</v>
      </c>
      <c r="E36" s="162">
        <v>72293816.230000004</v>
      </c>
      <c r="F36" s="162">
        <v>4821763.82</v>
      </c>
      <c r="G36" s="91">
        <v>-0.18106182791852554</v>
      </c>
      <c r="H36" s="91">
        <v>-0.18741416427709923</v>
      </c>
      <c r="I36" s="116">
        <v>0.42779243856972271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138000.76</v>
      </c>
      <c r="E37" s="163">
        <v>84205.01</v>
      </c>
      <c r="F37" s="163">
        <v>0</v>
      </c>
      <c r="G37" s="92">
        <v>-0.41013771071431926</v>
      </c>
      <c r="H37" s="92">
        <v>-0.53260582559408132</v>
      </c>
      <c r="I37" s="117">
        <v>0</v>
      </c>
    </row>
    <row r="38" spans="2:9" ht="20.100000000000001" customHeight="1">
      <c r="C38" s="146" t="s">
        <v>7</v>
      </c>
      <c r="D38" s="164">
        <v>74007817.560000017</v>
      </c>
      <c r="E38" s="164">
        <v>72378021.24000001</v>
      </c>
      <c r="F38" s="164">
        <v>4821763.82</v>
      </c>
      <c r="G38" s="147">
        <v>-0.1816544384278751</v>
      </c>
      <c r="H38" s="147">
        <v>-0.18811176107325833</v>
      </c>
      <c r="I38" s="148">
        <v>0.42779243856972271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Reclassificadas, no final de janeiro de 2026 (valores acumulados)","Table XIV - Accounts payable of the RPEs, january (accumulated)")</f>
        <v>Table XIV - Accounts payable of the RPEs, january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16" t="str">
        <f>+IF(Índice!$D$2=1,"Entidades Públicas Reclassseicadas","Reclassseied Public Entities")</f>
        <v>Reclassseied Public Entities</v>
      </c>
      <c r="D42" s="308" t="str">
        <f>+IF(Índice!$D$2=1,"janeiro 2026","january 2026")</f>
        <v>january 2026</v>
      </c>
      <c r="E42" s="308" t="str">
        <f>+IF(Índice!$D$2="PT","janeiro 2020","January")</f>
        <v>January</v>
      </c>
      <c r="F42" s="308" t="str">
        <f>+IF(Índice!$D$2="PT","janeiro 2020","January")</f>
        <v>January</v>
      </c>
      <c r="G42" s="309" t="str">
        <f>+IF(Índice!$D$2=1,"Variação face ao stock inicial de janeiro","Change from january initial stock")</f>
        <v>Change from january initial stock</v>
      </c>
      <c r="H42" s="310"/>
      <c r="I42" s="310"/>
    </row>
    <row r="43" spans="2:9" ht="12.75" customHeight="1">
      <c r="C43" s="317"/>
      <c r="D43" s="319" t="str">
        <f>+IF(Índice!$D$2=1,"Stock final do período","Accumulated")</f>
        <v>Accumulated</v>
      </c>
      <c r="E43" s="320"/>
      <c r="F43" s="321"/>
      <c r="G43" s="312" t="str">
        <f>+IF(Índice!$D$2=1,"Passivo","Liabilities")</f>
        <v>Liabilities</v>
      </c>
      <c r="H43" s="312" t="str">
        <f>+IF(Índice!$D$2=1,"Contas a pagar","Accounts payable")</f>
        <v>Accounts payable</v>
      </c>
      <c r="I43" s="314" t="str">
        <f>+IF(Índice!$D$2=1,"Pagamentos em atraso","Late payments")</f>
        <v>Late payments</v>
      </c>
    </row>
    <row r="44" spans="2:9" ht="22.5">
      <c r="C44" s="318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13"/>
      <c r="H44" s="313"/>
      <c r="I44" s="315"/>
    </row>
    <row r="45" spans="2:9" ht="20.100000000000001" customHeight="1">
      <c r="C45" s="115" t="str">
        <f>+IF(Índice!$D$2=1,"Despesa corrente","Current expenditure")</f>
        <v>Current expenditure</v>
      </c>
      <c r="D45" s="162">
        <v>70371051.559999987</v>
      </c>
      <c r="E45" s="162">
        <v>67819799.669999972</v>
      </c>
      <c r="F45" s="162">
        <v>16178883.030000001</v>
      </c>
      <c r="G45" s="91">
        <v>4.2437532412895607E-2</v>
      </c>
      <c r="H45" s="91">
        <v>4.3887944304155768E-2</v>
      </c>
      <c r="I45" s="116">
        <v>0.18670626191089457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9250457.3300000001</v>
      </c>
      <c r="E46" s="163">
        <v>6550457.3300000001</v>
      </c>
      <c r="F46" s="163">
        <v>173692.16999999998</v>
      </c>
      <c r="G46" s="92">
        <v>0.10885595305205098</v>
      </c>
      <c r="H46" s="92">
        <v>0.16094620058735631</v>
      </c>
      <c r="I46" s="117">
        <v>0.20536292011601964</v>
      </c>
    </row>
    <row r="47" spans="2:9" ht="20.100000000000001" customHeight="1">
      <c r="C47" s="146" t="s">
        <v>7</v>
      </c>
      <c r="D47" s="164">
        <v>79621508.889999986</v>
      </c>
      <c r="E47" s="164">
        <v>74370256.99999997</v>
      </c>
      <c r="F47" s="164">
        <v>16352575.200000001</v>
      </c>
      <c r="G47" s="147">
        <v>4.9742681236808473E-2</v>
      </c>
      <c r="H47" s="147">
        <v>5.3241793841534824E-2</v>
      </c>
      <c r="I47" s="148">
        <v>0.18690139222925506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8"/>
  <sheetViews>
    <sheetView showGridLines="0" topLeftCell="A77" zoomScale="85" zoomScaleNormal="85" workbookViewId="0">
      <selection activeCell="O101" sqref="O10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101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90</v>
      </c>
      <c r="D7" s="170"/>
      <c r="E7" s="169"/>
    </row>
    <row r="8" spans="2:5">
      <c r="B8" s="195"/>
      <c r="C8" s="170" t="s">
        <v>78</v>
      </c>
      <c r="D8" s="171"/>
      <c r="E8" s="169"/>
    </row>
    <row r="9" spans="2:5">
      <c r="B9" s="195"/>
      <c r="C9" s="170" t="s">
        <v>93</v>
      </c>
      <c r="D9" s="170"/>
      <c r="E9" s="169"/>
    </row>
    <row r="10" spans="2:5">
      <c r="B10" s="195"/>
      <c r="C10" s="170" t="s">
        <v>76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98</v>
      </c>
      <c r="D12" s="170"/>
      <c r="E12" s="169"/>
    </row>
    <row r="13" spans="2:5">
      <c r="B13" s="195"/>
      <c r="C13" s="171" t="s">
        <v>102</v>
      </c>
      <c r="D13" s="170"/>
      <c r="E13" s="169"/>
    </row>
    <row r="14" spans="2:5">
      <c r="B14" s="195"/>
      <c r="C14" s="170" t="s">
        <v>15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100</v>
      </c>
      <c r="D16" s="170"/>
      <c r="E16" s="169"/>
    </row>
    <row r="17" spans="2:5">
      <c r="B17" s="195"/>
      <c r="C17" s="170" t="s">
        <v>50</v>
      </c>
      <c r="D17" s="171"/>
      <c r="E17" s="169"/>
    </row>
    <row r="18" spans="2:5">
      <c r="B18" s="195"/>
      <c r="C18" s="170" t="s">
        <v>51</v>
      </c>
      <c r="D18" s="170"/>
      <c r="E18" s="169"/>
    </row>
    <row r="19" spans="2:5">
      <c r="B19" s="195"/>
      <c r="C19" s="170" t="s">
        <v>52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39</v>
      </c>
      <c r="D21" s="170"/>
      <c r="E21" s="169"/>
    </row>
    <row r="22" spans="2:5">
      <c r="B22" s="195"/>
      <c r="C22" s="170" t="s">
        <v>53</v>
      </c>
      <c r="D22" s="170"/>
      <c r="E22" s="169"/>
    </row>
    <row r="23" spans="2:5">
      <c r="B23" s="195"/>
      <c r="C23" s="170" t="s">
        <v>64</v>
      </c>
      <c r="D23" s="170"/>
      <c r="E23" s="169"/>
    </row>
    <row r="24" spans="2:5">
      <c r="B24" s="195"/>
      <c r="C24" s="170" t="s">
        <v>62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65</v>
      </c>
      <c r="D26" s="170"/>
      <c r="E26" s="169"/>
    </row>
    <row r="27" spans="2:5">
      <c r="B27" s="195"/>
      <c r="C27" s="170" t="s">
        <v>40</v>
      </c>
      <c r="D27" s="170"/>
      <c r="E27" s="169"/>
    </row>
    <row r="28" spans="2:5">
      <c r="B28" s="195"/>
      <c r="C28" s="170" t="s">
        <v>92</v>
      </c>
      <c r="D28" s="170"/>
      <c r="E28" s="169"/>
    </row>
    <row r="29" spans="2:5">
      <c r="B29" s="55"/>
      <c r="C29" s="170" t="s">
        <v>54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55</v>
      </c>
      <c r="D31" s="170"/>
      <c r="E31" s="169"/>
    </row>
    <row r="32" spans="2:5">
      <c r="B32" s="55"/>
      <c r="C32" s="170" t="s">
        <v>56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42</v>
      </c>
      <c r="D35" s="170"/>
      <c r="E35" s="169"/>
    </row>
    <row r="36" spans="2:5">
      <c r="B36" s="55"/>
      <c r="C36" s="170" t="s">
        <v>57</v>
      </c>
      <c r="D36" s="170"/>
      <c r="E36" s="169"/>
    </row>
    <row r="37" spans="2:5">
      <c r="B37" s="55"/>
      <c r="C37" s="170" t="s">
        <v>71</v>
      </c>
      <c r="D37" s="170"/>
      <c r="E37" s="169"/>
    </row>
    <row r="38" spans="2:5">
      <c r="B38" s="55"/>
      <c r="C38" s="170" t="s">
        <v>58</v>
      </c>
      <c r="D38" s="170"/>
      <c r="E38" s="169"/>
    </row>
    <row r="39" spans="2:5">
      <c r="B39" s="55"/>
      <c r="C39" s="170" t="s">
        <v>43</v>
      </c>
      <c r="D39" s="170"/>
      <c r="E39" s="169"/>
    </row>
    <row r="40" spans="2:5">
      <c r="B40" s="55"/>
      <c r="C40" s="170" t="s">
        <v>59</v>
      </c>
      <c r="D40" s="170"/>
      <c r="E40" s="169"/>
    </row>
    <row r="41" spans="2:5">
      <c r="B41" s="55"/>
      <c r="C41" s="170" t="s">
        <v>44</v>
      </c>
      <c r="D41" s="170"/>
      <c r="E41" s="169"/>
    </row>
    <row r="42" spans="2:5">
      <c r="B42" s="55"/>
      <c r="C42" s="171" t="s">
        <v>77</v>
      </c>
      <c r="D42" s="170"/>
      <c r="E42" s="169"/>
    </row>
    <row r="43" spans="2:5">
      <c r="B43" s="55"/>
      <c r="C43" s="170" t="s">
        <v>78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67</v>
      </c>
      <c r="D45" s="171"/>
      <c r="E45" s="169"/>
    </row>
    <row r="46" spans="2:5">
      <c r="B46" s="55"/>
      <c r="C46" s="170" t="s">
        <v>79</v>
      </c>
      <c r="D46" s="170"/>
      <c r="E46" s="169"/>
    </row>
    <row r="47" spans="2:5">
      <c r="B47" s="55"/>
      <c r="C47" s="171" t="s">
        <v>23</v>
      </c>
      <c r="D47" s="170"/>
      <c r="E47" s="169"/>
    </row>
    <row r="48" spans="2:5">
      <c r="B48" s="55"/>
      <c r="C48" s="170" t="s">
        <v>78</v>
      </c>
      <c r="D48" s="170"/>
      <c r="E48" s="169"/>
    </row>
    <row r="49" spans="2:5">
      <c r="B49" s="55"/>
      <c r="C49" s="170" t="s">
        <v>99</v>
      </c>
      <c r="D49" s="170"/>
      <c r="E49" s="169"/>
    </row>
    <row r="50" spans="2:5">
      <c r="B50" s="55"/>
      <c r="C50" s="170" t="s">
        <v>24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45</v>
      </c>
      <c r="D52" s="170"/>
      <c r="E52" s="169"/>
    </row>
    <row r="53" spans="2:5">
      <c r="B53" s="55"/>
      <c r="C53" s="170" t="s">
        <v>46</v>
      </c>
      <c r="D53" s="170"/>
      <c r="E53" s="169"/>
    </row>
    <row r="54" spans="2:5">
      <c r="B54" s="55"/>
      <c r="C54" s="170" t="s">
        <v>37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47</v>
      </c>
    </row>
    <row r="57" spans="2:5">
      <c r="B57" s="55"/>
      <c r="C57" s="170" t="s">
        <v>21</v>
      </c>
    </row>
    <row r="58" spans="2:5">
      <c r="B58" s="55"/>
      <c r="C58" s="170" t="s">
        <v>22</v>
      </c>
    </row>
    <row r="59" spans="2:5">
      <c r="B59" s="55"/>
      <c r="C59" s="170" t="s">
        <v>38</v>
      </c>
    </row>
    <row r="60" spans="2:5">
      <c r="B60" s="55"/>
      <c r="C60" s="170" t="s">
        <v>80</v>
      </c>
    </row>
    <row r="61" spans="2:5">
      <c r="B61" s="55"/>
      <c r="C61" s="171" t="s">
        <v>81</v>
      </c>
    </row>
    <row r="62" spans="2:5">
      <c r="B62" s="55"/>
      <c r="C62" s="170" t="s">
        <v>78</v>
      </c>
    </row>
    <row r="63" spans="2:5">
      <c r="B63" s="55"/>
      <c r="C63" s="170" t="s">
        <v>72</v>
      </c>
    </row>
    <row r="64" spans="2:5">
      <c r="B64" s="55"/>
      <c r="C64" s="170" t="s">
        <v>69</v>
      </c>
    </row>
    <row r="65" spans="2:3">
      <c r="B65" s="55"/>
      <c r="C65" s="170" t="s">
        <v>82</v>
      </c>
    </row>
    <row r="66" spans="2:3">
      <c r="B66" s="55"/>
      <c r="C66" s="171" t="s">
        <v>68</v>
      </c>
    </row>
    <row r="67" spans="2:3">
      <c r="B67" s="55"/>
      <c r="C67" s="170" t="s">
        <v>78</v>
      </c>
    </row>
    <row r="68" spans="2:3">
      <c r="B68" s="55"/>
      <c r="C68" s="170" t="s">
        <v>60</v>
      </c>
    </row>
    <row r="69" spans="2:3">
      <c r="B69" s="55"/>
      <c r="C69" s="170" t="s">
        <v>25</v>
      </c>
    </row>
    <row r="70" spans="2:3">
      <c r="B70" s="55"/>
      <c r="C70" s="170" t="s">
        <v>95</v>
      </c>
    </row>
    <row r="71" spans="2:3">
      <c r="B71" s="55"/>
      <c r="C71" s="170" t="s">
        <v>83</v>
      </c>
    </row>
    <row r="72" spans="2:3">
      <c r="B72" s="55"/>
      <c r="C72" s="171" t="s">
        <v>75</v>
      </c>
    </row>
    <row r="73" spans="2:3" ht="13.5" customHeight="1">
      <c r="B73" s="55"/>
      <c r="C73" s="170" t="s">
        <v>78</v>
      </c>
    </row>
    <row r="74" spans="2:3" ht="13.5" customHeight="1">
      <c r="B74" s="55"/>
      <c r="C74" s="170" t="s">
        <v>26</v>
      </c>
    </row>
    <row r="75" spans="2:3" ht="13.5" customHeight="1">
      <c r="B75" s="55"/>
      <c r="C75" s="170" t="s">
        <v>27</v>
      </c>
    </row>
    <row r="76" spans="2:3" ht="13.5" customHeight="1">
      <c r="B76" s="55"/>
      <c r="C76" s="170" t="s">
        <v>28</v>
      </c>
    </row>
    <row r="77" spans="2:3" ht="13.5" customHeight="1">
      <c r="B77" s="55"/>
      <c r="C77" s="170" t="s">
        <v>84</v>
      </c>
    </row>
    <row r="78" spans="2:3" ht="13.5" customHeight="1">
      <c r="B78" s="55"/>
      <c r="C78" s="289" t="s">
        <v>85</v>
      </c>
    </row>
    <row r="79" spans="2:3" ht="13.5" customHeight="1">
      <c r="B79" s="55"/>
      <c r="C79" s="292"/>
    </row>
    <row r="80" spans="2:3" ht="13.5" customHeight="1">
      <c r="B80" s="55"/>
      <c r="C80" s="170"/>
    </row>
    <row r="81" spans="2:3" ht="30.75" customHeight="1">
      <c r="B81" s="16"/>
      <c r="C81" s="29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90</v>
      </c>
    </row>
    <row r="85" spans="2:3">
      <c r="B85" s="55"/>
      <c r="C85" s="170" t="s">
        <v>61</v>
      </c>
    </row>
    <row r="86" spans="2:3">
      <c r="B86" s="55"/>
      <c r="C86" s="171" t="s">
        <v>102</v>
      </c>
    </row>
    <row r="87" spans="2:3">
      <c r="B87" s="55"/>
      <c r="C87" s="170" t="s">
        <v>70</v>
      </c>
    </row>
    <row r="88" spans="2:3">
      <c r="B88" s="55"/>
      <c r="C88" s="170" t="s">
        <v>91</v>
      </c>
    </row>
    <row r="89" spans="2:3">
      <c r="B89" s="55"/>
      <c r="C89" s="170" t="s">
        <v>96</v>
      </c>
    </row>
    <row r="90" spans="2:3">
      <c r="B90" s="55"/>
      <c r="C90" s="170" t="s">
        <v>86</v>
      </c>
    </row>
    <row r="91" spans="2:3">
      <c r="B91" s="55"/>
      <c r="C91" s="170" t="s">
        <v>97</v>
      </c>
    </row>
    <row r="92" spans="2:3">
      <c r="B92" s="55"/>
      <c r="C92" s="171" t="s">
        <v>77</v>
      </c>
    </row>
    <row r="93" spans="2:3">
      <c r="B93" s="55"/>
      <c r="C93" s="170" t="s">
        <v>30</v>
      </c>
    </row>
    <row r="94" spans="2:3">
      <c r="B94" s="55"/>
      <c r="C94" s="170" t="s">
        <v>87</v>
      </c>
    </row>
    <row r="95" spans="2:3">
      <c r="B95" s="55"/>
      <c r="C95" s="171" t="s">
        <v>23</v>
      </c>
    </row>
    <row r="96" spans="2:3">
      <c r="B96" s="55"/>
      <c r="C96" s="170" t="s">
        <v>103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31</v>
      </c>
    </row>
    <row r="100" spans="2:3">
      <c r="B100" s="55"/>
      <c r="C100" s="170" t="s">
        <v>32</v>
      </c>
    </row>
    <row r="101" spans="2:3">
      <c r="B101" s="55"/>
      <c r="C101" s="170" t="s">
        <v>48</v>
      </c>
    </row>
    <row r="102" spans="2:3">
      <c r="B102" s="55"/>
      <c r="C102" s="171" t="s">
        <v>81</v>
      </c>
    </row>
    <row r="103" spans="2:3">
      <c r="B103" s="55"/>
      <c r="C103" s="170" t="s">
        <v>74</v>
      </c>
    </row>
    <row r="104" spans="2:3">
      <c r="B104" s="55"/>
      <c r="C104" s="171" t="s">
        <v>68</v>
      </c>
    </row>
    <row r="105" spans="2:3">
      <c r="B105" s="55"/>
      <c r="C105" s="170" t="s">
        <v>61</v>
      </c>
    </row>
    <row r="106" spans="2:3">
      <c r="B106" s="55"/>
      <c r="C106" s="170" t="s">
        <v>74</v>
      </c>
    </row>
    <row r="107" spans="2:3">
      <c r="B107" s="55"/>
      <c r="C107" s="171" t="s">
        <v>75</v>
      </c>
    </row>
    <row r="108" spans="2:3">
      <c r="C108" s="170" t="s">
        <v>33</v>
      </c>
    </row>
    <row r="109" spans="2:3">
      <c r="C109" s="170" t="s">
        <v>34</v>
      </c>
    </row>
    <row r="110" spans="2:3">
      <c r="C110" s="170" t="s">
        <v>35</v>
      </c>
    </row>
    <row r="111" spans="2:3">
      <c r="C111" s="170" t="s">
        <v>36</v>
      </c>
    </row>
    <row r="112" spans="2:3">
      <c r="C112" s="170" t="s">
        <v>73</v>
      </c>
    </row>
    <row r="113" spans="3:3">
      <c r="C113" s="170" t="s">
        <v>88</v>
      </c>
    </row>
    <row r="114" spans="3:3">
      <c r="C114" s="170" t="s">
        <v>89</v>
      </c>
    </row>
    <row r="115" spans="3:3">
      <c r="C115" s="289"/>
    </row>
    <row r="116" spans="3:3">
      <c r="C116" s="170"/>
    </row>
    <row r="117" spans="3:3">
      <c r="C117" s="170"/>
    </row>
    <row r="118" spans="3:3">
      <c r="C118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zoomScale="130" zoomScaleNormal="130" workbookViewId="0"/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TABLE III - Regional Gov. tax revenue budget execution (january)</v>
      </c>
      <c r="B5" s="217"/>
      <c r="C5" s="217"/>
      <c r="D5" s="217"/>
    </row>
    <row r="6" spans="1:25" s="179" customFormat="1" ht="20.100000000000001" customHeight="1">
      <c r="A6" s="269" t="str">
        <f>+Q4_R_n_fiscal!C2</f>
        <v>TABLE IV - Regional Gov. non-tax revenue budget execution (january)</v>
      </c>
      <c r="B6" s="217"/>
      <c r="C6" s="217"/>
      <c r="D6" s="217"/>
    </row>
    <row r="7" spans="1:25" s="179" customFormat="1" ht="20.100000000000001" customHeight="1">
      <c r="A7" s="269" t="str">
        <f>+'Q5_D_Est ECO'!C2</f>
        <v>TABLE V - Regional Gov. expenditure budget execution (january)</v>
      </c>
      <c r="B7"/>
      <c r="C7"/>
      <c r="D7"/>
    </row>
    <row r="8" spans="1:25" s="179" customFormat="1" ht="20.100000000000001" customHeight="1">
      <c r="A8" s="269" t="str">
        <f>+Q6_D_Est_Func!C2</f>
        <v>TABLE VI - Regional Gov. expenditure by functional classification (january)</v>
      </c>
      <c r="B8" s="217"/>
      <c r="C8" s="217"/>
      <c r="D8" s="217"/>
    </row>
    <row r="9" spans="1:25" s="179" customFormat="1" ht="20.100000000000001" customHeight="1">
      <c r="A9" s="269" t="str">
        <f>+Q7_D_Est_Org!C2</f>
        <v>TABLE VII - Budget execution by organic and economic cross-classification (january)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TABLE VIII - RPEs global balance (january)</v>
      </c>
      <c r="B10" s="217"/>
      <c r="C10" s="217"/>
      <c r="D10" s="217"/>
    </row>
    <row r="11" spans="1:25" s="179" customFormat="1" ht="20.100000000000001" customHeight="1">
      <c r="A11" s="283" t="str">
        <f>+'Q9_SFA '!C2</f>
        <v>TABLE IX - ASFs and RPEs budget execution (january)</v>
      </c>
      <c r="B11" s="284"/>
      <c r="C11" s="284"/>
      <c r="D11" s="217"/>
    </row>
    <row r="12" spans="1:25" s="179" customFormat="1" ht="20.100000000000001" customHeight="1">
      <c r="A12" s="269" t="str">
        <f>+'Q10_SFA acumulado'!C2</f>
        <v>TABLE X - ASFs and RPEs budget execution (january)</v>
      </c>
      <c r="B12" s="217"/>
      <c r="C12" s="217"/>
      <c r="D12" s="217"/>
    </row>
    <row r="13" spans="1:25" s="179" customFormat="1" ht="20.100000000000001" customHeight="1">
      <c r="A13" s="283" t="str">
        <f>+Q_11_12_13_14_Compromissos!C2</f>
        <v>Table XI- Accounts payable of the Regional Administration, january (accumulated)</v>
      </c>
      <c r="B13" s="284"/>
      <c r="C13" s="284"/>
      <c r="D13" s="284"/>
    </row>
    <row r="14" spans="1:25" s="179" customFormat="1" ht="20.100000000000001" customHeight="1">
      <c r="A14" s="283" t="str">
        <f>+Q_11_12_13_14_Compromissos!C23</f>
        <v>Table XII - Accounts payable of the Regional Gov., january (accumulated)</v>
      </c>
      <c r="B14" s="284"/>
      <c r="C14" s="284"/>
      <c r="D14" s="284"/>
    </row>
    <row r="15" spans="1:25" s="179" customFormat="1" ht="20.100000000000001" customHeight="1">
      <c r="A15" s="283" t="str">
        <f>+Q_11_12_13_14_Compromissos!C32</f>
        <v>Table XIII - Accounts payable of the ASFs, january (accumulated)</v>
      </c>
      <c r="B15" s="284"/>
      <c r="C15" s="284"/>
      <c r="D15" s="284"/>
    </row>
    <row r="16" spans="1:25" s="169" customFormat="1" ht="20.100000000000001" customHeight="1">
      <c r="A16" s="269" t="str">
        <f>+Q_11_12_13_14_Compromissos!C41</f>
        <v>Table XIV - Accounts payable of the RPEs, january (accumulated)</v>
      </c>
      <c r="B16" s="217"/>
      <c r="C16" s="217"/>
      <c r="D16" s="217"/>
    </row>
    <row r="17" spans="1:4" s="179" customFormat="1" ht="20.100000000000001" customHeight="1">
      <c r="A17" s="269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'!C81</f>
        <v>Lista de entidades que cumprem com o estabelecido no art.º 7.º da LCPA (SFA/EPR)</v>
      </c>
      <c r="B18" s="217"/>
      <c r="C18" s="217"/>
      <c r="D18" s="217"/>
    </row>
    <row r="19" spans="1:4">
      <c r="A19" s="169"/>
      <c r="B19" s="284"/>
      <c r="C19" s="284"/>
      <c r="D19" s="284"/>
    </row>
    <row r="20" spans="1:4">
      <c r="A20" s="293"/>
      <c r="B20" s="293"/>
      <c r="C20" s="293"/>
      <c r="D20" s="293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'Q4_ R_fiscal'!B2" display="'Q4_ R_fiscal'!B2" xr:uid="{8C3F32CF-CB5D-4C4B-91F0-3DBF99E72AFF}"/>
    <hyperlink ref="A6" location="Q5_R_n_fiscal!B2" display="Q5_R_n_fiscal!B2" xr:uid="{4D51F3FB-D210-40AF-BC81-B0EFC32302B1}"/>
    <hyperlink ref="A8" location="Q7_D_Est_Func!B2" display="Q7_D_Est_Func!B2" xr:uid="{DB99BAB6-36F5-494B-841E-18DB72003739}"/>
    <hyperlink ref="A9" location="Q8_D_Est_Org!B2" display="Q8_D_Est_Org!B2" xr:uid="{23A5696D-775A-42B4-B16B-8C40BCDC42E4}"/>
    <hyperlink ref="A10" location="'Q9_Saldo_Global EPR'!B2" display="'Q9_Saldo_Global EPR'!B2" xr:uid="{ED449137-F13D-44F9-88F9-DFF493312589}"/>
    <hyperlink ref="A12" location="'Q11_SFA acumulado'!B2" display="'Q11_SFA acumulado'!B2" xr:uid="{ADBEC935-DCE9-4236-8232-0EDE4028CC74}"/>
    <hyperlink ref="A16" location="Q_11_12_13_14_Compromissos!B41" display="Q_11_12_13_14_Compromissos!B41" xr:uid="{BAD9A133-E14F-407B-899C-D23381A55606}"/>
    <hyperlink ref="A17" location="'Pagamentos_Atraso '!B2" display="'Pagamentos_Atraso '!B2" xr:uid="{BBAB661D-6B78-40E8-B9DD-E380E22DAE77}"/>
    <hyperlink ref="A18" location="'Pagamentos_Atraso '!B81" display="'Pagamentos_Atraso '!B81" xr:uid="{F718D3A5-B7AF-46BB-9849-9E40F5F28D40}"/>
    <hyperlink ref="A11" location="'Q10_SFA '!B2" display="'Q10_SFA '!B2" xr:uid="{8D1A7F21-9568-46EC-9B75-556892F57933}"/>
    <hyperlink ref="A13" location="Q_11_12_13_14_Compromissos!B2" display="Q_11_12_13_14_Compromissos!B2" xr:uid="{B7AE2B94-05CF-4D8E-8A81-72508CF8DB67}"/>
    <hyperlink ref="A14" location="Q_11_12_13_14_Compromissos!B23" display="Q_11_12_13_14_Compromissos!B23" xr:uid="{4D85DF17-CBC3-4CA4-9E81-59CFADE51B83}"/>
    <hyperlink ref="A15" location="Q_11_12_13_14_Compromissos!B32" display="Q_11_12_13_14_Compromissos!B32" xr:uid="{8538F7F0-97D0-48DD-B480-761461E7389D}"/>
    <hyperlink ref="A7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F7" sqref="F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TABLE I - Consolidated budget execution (january)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2026","Consolidated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108392.02048000001</v>
      </c>
      <c r="E5" s="57">
        <v>41645.766860000003</v>
      </c>
      <c r="F5" s="57">
        <v>32103.394760000003</v>
      </c>
      <c r="G5" s="57">
        <v>145470.38621</v>
      </c>
      <c r="H5" s="57">
        <v>22.527847714505022</v>
      </c>
    </row>
    <row r="6" spans="1:10" ht="11.25" customHeight="1">
      <c r="C6" s="68" t="str">
        <f>+IF(Índice!$D$2=1,"Impostos diretos","Direct taxes")</f>
        <v>Direct taxes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Indirect taxes</v>
      </c>
      <c r="D7" s="56">
        <v>53454.515039999998</v>
      </c>
      <c r="E7" s="56">
        <v>0</v>
      </c>
      <c r="F7" s="56">
        <v>0</v>
      </c>
      <c r="G7" s="56">
        <v>53454.515039999998</v>
      </c>
      <c r="H7" s="56">
        <v>2.543432805516832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54937.505440000008</v>
      </c>
      <c r="E9" s="56">
        <v>41645.766860000003</v>
      </c>
      <c r="F9" s="56">
        <v>32103.394760000003</v>
      </c>
      <c r="G9" s="56">
        <v>63743.543780000015</v>
      </c>
      <c r="H9" s="56">
        <v>4.2011880472064611</v>
      </c>
    </row>
    <row r="10" spans="1:10">
      <c r="C10" s="69" t="str">
        <f>+IF(Índice!$D$2=1,"Transferências correntes","Current transfers")</f>
        <v>Current transfers</v>
      </c>
      <c r="D10" s="56">
        <v>53702.056700000001</v>
      </c>
      <c r="E10" s="56">
        <v>40464.844749999997</v>
      </c>
      <c r="F10" s="56">
        <v>28610.700140000004</v>
      </c>
      <c r="G10" s="56">
        <v>57834.478310000013</v>
      </c>
      <c r="H10" s="56">
        <v>3.9462495215032867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53590.59</v>
      </c>
      <c r="E11" s="56">
        <v>169.58905999999999</v>
      </c>
      <c r="F11" s="56">
        <v>0</v>
      </c>
      <c r="G11" s="56">
        <v>53760.179059999995</v>
      </c>
      <c r="H11" s="56">
        <v>7.2728943563792336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36675.116869999991</v>
      </c>
      <c r="F12" s="56">
        <v>28268.006410000002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28272.327389999995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2317.85869</v>
      </c>
      <c r="E14" s="57">
        <v>818.22141999999997</v>
      </c>
      <c r="F14" s="57">
        <v>1452.5005000000003</v>
      </c>
      <c r="G14" s="57">
        <v>3913.5806100000009</v>
      </c>
      <c r="H14" s="57">
        <v>-85.727702876831103</v>
      </c>
    </row>
    <row r="15" spans="1:10">
      <c r="C15" s="68" t="str">
        <f>+IF(Índice!$D$2=1,"Venda de bens de investimento","Sale of investment goods")</f>
        <v>Sale of investment goods</v>
      </c>
      <c r="D15" s="56">
        <v>333.9</v>
      </c>
      <c r="E15" s="56">
        <v>0</v>
      </c>
      <c r="F15" s="56">
        <v>17.928000000000001</v>
      </c>
      <c r="G15" s="56">
        <v>351.82799999999997</v>
      </c>
      <c r="H15" s="56">
        <v>4356.4523483812127</v>
      </c>
    </row>
    <row r="16" spans="1:10" ht="11.25" customHeight="1">
      <c r="C16" s="68" t="str">
        <f>+IF(Índice!$D$2=1,"Transferências capital","Capital transfers")</f>
        <v>Capital transfers</v>
      </c>
      <c r="D16" s="56">
        <v>527.25738000000001</v>
      </c>
      <c r="E16" s="56">
        <v>802.798</v>
      </c>
      <c r="F16" s="56">
        <v>1430.3252600000001</v>
      </c>
      <c r="G16" s="56">
        <v>1581.5633700000003</v>
      </c>
      <c r="H16" s="56">
        <v>-92.567850718816885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0</v>
      </c>
      <c r="E17" s="56">
        <v>0</v>
      </c>
      <c r="F17" s="56">
        <v>0</v>
      </c>
      <c r="G17" s="56">
        <v>0</v>
      </c>
      <c r="H17" s="56">
        <v>-100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668</v>
      </c>
      <c r="F18" s="56">
        <v>510.81727000000001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503.81727000000001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110709.87917</v>
      </c>
      <c r="E20" s="57">
        <v>42463.988280000005</v>
      </c>
      <c r="F20" s="57">
        <v>33555.895260000005</v>
      </c>
      <c r="G20" s="57">
        <v>149383.96682</v>
      </c>
      <c r="H20" s="57">
        <v>2.2161544771501784</v>
      </c>
    </row>
    <row r="21" spans="3:8" ht="20.25" customHeight="1">
      <c r="C21" s="220" t="str">
        <f>+IF(Índice!$D$2=1,"Despesa corrente","Current expenditure")</f>
        <v>Current expenditure</v>
      </c>
      <c r="D21" s="220">
        <v>75390.465059999988</v>
      </c>
      <c r="E21" s="220">
        <v>37248.812819999992</v>
      </c>
      <c r="F21" s="220">
        <v>21593.224099999996</v>
      </c>
      <c r="G21" s="220">
        <v>97561.706089999992</v>
      </c>
      <c r="H21" s="220">
        <v>10.385363348042119</v>
      </c>
    </row>
    <row r="22" spans="3:8" ht="10.5" customHeight="1">
      <c r="C22" s="68" t="str">
        <f>+IF(Índice!$D$2=1,"Consumo público","Public consumption")</f>
        <v>Public consumption</v>
      </c>
      <c r="D22" s="56">
        <v>44909.536339999977</v>
      </c>
      <c r="E22" s="56">
        <v>4951.7706200000002</v>
      </c>
      <c r="F22" s="56">
        <v>20462.626889999996</v>
      </c>
      <c r="G22" s="56">
        <v>70323.933849999972</v>
      </c>
      <c r="H22" s="56">
        <v>12.580838471832445</v>
      </c>
    </row>
    <row r="23" spans="3:8">
      <c r="C23" s="69" t="str">
        <f>+IF(Índice!$D$2=1,"Despesas com o pessoal","Compensation of employees")</f>
        <v>Compensation of employees</v>
      </c>
      <c r="D23" s="56">
        <v>31742.183279999979</v>
      </c>
      <c r="E23" s="56">
        <v>4005.6411300000004</v>
      </c>
      <c r="F23" s="56">
        <v>17101.317029999995</v>
      </c>
      <c r="G23" s="56">
        <v>52849.141439999978</v>
      </c>
      <c r="H23" s="56">
        <v>9.2735544577061688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13167.353059999999</v>
      </c>
      <c r="E24" s="56">
        <v>946.12949000000003</v>
      </c>
      <c r="F24" s="56">
        <v>3361.3098599999998</v>
      </c>
      <c r="G24" s="56">
        <v>17474.792409999998</v>
      </c>
      <c r="H24" s="56">
        <v>23.924104629552435</v>
      </c>
    </row>
    <row r="25" spans="3:8">
      <c r="C25" s="68" t="str">
        <f>+IF(Índice!$D$2=1,"Subsídios","Subsidies")</f>
        <v>Subsidies</v>
      </c>
      <c r="D25" s="56">
        <v>97.528619999999989</v>
      </c>
      <c r="E25" s="56">
        <v>2251.8731899999998</v>
      </c>
      <c r="F25" s="56">
        <v>0</v>
      </c>
      <c r="G25" s="56">
        <v>2346.7227899999998</v>
      </c>
      <c r="H25" s="56">
        <v>961.29059407274917</v>
      </c>
    </row>
    <row r="26" spans="3:8">
      <c r="C26" s="68" t="str">
        <f>+IF(Índice!$D$2=1,"Juros e outros encargos","Interests and other charges")</f>
        <v>Interests and other charges</v>
      </c>
      <c r="D26" s="56">
        <v>17212.138990000003</v>
      </c>
      <c r="E26" s="56">
        <v>0.78593000000000002</v>
      </c>
      <c r="F26" s="56">
        <v>0.41107000000000005</v>
      </c>
      <c r="G26" s="56">
        <v>17213.335990000003</v>
      </c>
      <c r="H26" s="56">
        <v>-7.2709050111259499</v>
      </c>
    </row>
    <row r="27" spans="3:8">
      <c r="C27" s="68" t="str">
        <f>+IF(Índice!$D$2=1,"Transferências correntes","Current transfers")</f>
        <v>Current transfers</v>
      </c>
      <c r="D27" s="56">
        <v>13171.261110000014</v>
      </c>
      <c r="E27" s="56">
        <v>30044.383079999992</v>
      </c>
      <c r="F27" s="56">
        <v>1130.18614</v>
      </c>
      <c r="G27" s="56">
        <v>7677.7134600000136</v>
      </c>
      <c r="H27" s="56">
        <v>7.630587020806967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416.59476000000001</v>
      </c>
      <c r="F28" s="56">
        <v>0</v>
      </c>
      <c r="G28" s="56">
        <v>416.59476000000001</v>
      </c>
      <c r="H28" s="56">
        <v>131.8799281018463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9569.1208700000007</v>
      </c>
      <c r="E29" s="56">
        <v>27098.995999999999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1464.7586099999999</v>
      </c>
      <c r="E31" s="57">
        <v>9.9990000000000009E-2</v>
      </c>
      <c r="F31" s="57">
        <v>192.59552000000002</v>
      </c>
      <c r="G31" s="57">
        <v>982.45411999999988</v>
      </c>
      <c r="H31" s="57">
        <v>-67.563353198760637</v>
      </c>
    </row>
    <row r="32" spans="3:8">
      <c r="C32" s="68" t="str">
        <f>+IF(Índice!$D$2=1,"Investimento","Investment")</f>
        <v>Investment</v>
      </c>
      <c r="D32" s="56">
        <v>4.4256900000000003</v>
      </c>
      <c r="E32" s="56">
        <v>9.9990000000000009E-2</v>
      </c>
      <c r="F32" s="56">
        <v>174.83552000000003</v>
      </c>
      <c r="G32" s="56">
        <v>179.36120000000003</v>
      </c>
      <c r="H32" s="56">
        <v>-15.35742748705735</v>
      </c>
    </row>
    <row r="33" spans="3:8">
      <c r="C33" s="68" t="str">
        <f>+IF(Índice!$D$2=1,"Transferências capital","Capital transfers")</f>
        <v>Capital transfers</v>
      </c>
      <c r="D33" s="56">
        <v>1460.3329199999998</v>
      </c>
      <c r="E33" s="56">
        <v>0</v>
      </c>
      <c r="F33" s="56">
        <v>17.760000000000002</v>
      </c>
      <c r="G33" s="56">
        <v>803.09291999999982</v>
      </c>
      <c r="H33" s="56">
        <v>-71.490548602223697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122.806</v>
      </c>
      <c r="E34" s="56">
        <v>0</v>
      </c>
      <c r="F34" s="56">
        <v>0</v>
      </c>
      <c r="G34" s="56">
        <v>122.806</v>
      </c>
      <c r="H34" s="56">
        <v>-71.167949943244963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675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76855.223670000007</v>
      </c>
      <c r="E38" s="86">
        <v>37248.912809999994</v>
      </c>
      <c r="F38" s="86">
        <v>21785.819619999995</v>
      </c>
      <c r="G38" s="86">
        <v>98544.160209999987</v>
      </c>
      <c r="H38" s="86">
        <v>7.8026056743596195</v>
      </c>
    </row>
    <row r="39" spans="3:8" ht="17.25" customHeight="1">
      <c r="C39" s="138" t="str">
        <f>+IF(Índice!$D$2=1,"Saldo global","Overall balance")</f>
        <v>Overall balance</v>
      </c>
      <c r="D39" s="139">
        <v>33854.655499999993</v>
      </c>
      <c r="E39" s="139">
        <v>5215.0754700000107</v>
      </c>
      <c r="F39" s="139">
        <v>11770.07564000001</v>
      </c>
      <c r="G39" s="139">
        <v>50839.806610000014</v>
      </c>
      <c r="H39" s="139">
        <v>-7.1139059134413429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33001.555420000019</v>
      </c>
      <c r="E41" s="19">
        <v>4396.9540400000114</v>
      </c>
      <c r="F41" s="19">
        <v>10510.170660000007</v>
      </c>
      <c r="G41" s="19">
        <v>47908.680120000005</v>
      </c>
      <c r="H41" s="19">
        <v>57.898098759728398</v>
      </c>
    </row>
    <row r="42" spans="3:8">
      <c r="C42" s="68" t="str">
        <f>+IF(Índice!$D$2=1,"Despesa corrente primária","Primary current expenditure")</f>
        <v>Primary current expenditure</v>
      </c>
      <c r="D42" s="19">
        <v>58178.326069999981</v>
      </c>
      <c r="E42" s="19">
        <v>37248.026889999994</v>
      </c>
      <c r="F42" s="19">
        <v>21592.813029999998</v>
      </c>
      <c r="G42" s="19">
        <v>80348.370099999986</v>
      </c>
      <c r="H42" s="19">
        <v>15.079647757206338</v>
      </c>
    </row>
    <row r="43" spans="3:8">
      <c r="C43" s="68" t="str">
        <f>+IF(Índice!$D$2=1,"Saldo corrente primário","Primary current balance")</f>
        <v>Primary current balance</v>
      </c>
      <c r="D43" s="19">
        <v>50213.694410000026</v>
      </c>
      <c r="E43" s="19">
        <v>4397.7399700000096</v>
      </c>
      <c r="F43" s="19">
        <v>10510.581730000005</v>
      </c>
      <c r="G43" s="19">
        <v>65122.016110000011</v>
      </c>
      <c r="H43" s="19">
        <v>33.161453726187553</v>
      </c>
    </row>
    <row r="44" spans="3:8">
      <c r="C44" s="68" t="str">
        <f>+IF(Índice!$D$2=1,"Saldo de capital","Capital balance")</f>
        <v>Capital balance</v>
      </c>
      <c r="D44" s="19">
        <v>853.10008000000016</v>
      </c>
      <c r="E44" s="19">
        <v>818.12142999999992</v>
      </c>
      <c r="F44" s="19">
        <v>1259.9049800000003</v>
      </c>
      <c r="G44" s="19">
        <v>2931.126490000001</v>
      </c>
      <c r="H44" s="19">
        <v>-87.983235749050962</v>
      </c>
    </row>
    <row r="45" spans="3:8">
      <c r="C45" s="68" t="str">
        <f t="array" ref="C45">+IF(Índice!$D$2=1,"Despesa primária","Primary expenditure")</f>
        <v>Primary expenditure</v>
      </c>
      <c r="D45" s="19">
        <v>59643.08468</v>
      </c>
      <c r="E45" s="19">
        <v>37248.126879999996</v>
      </c>
      <c r="F45" s="19">
        <v>21785.408549999996</v>
      </c>
      <c r="G45" s="19">
        <v>81330.82421999998</v>
      </c>
      <c r="H45" s="19">
        <v>11.643585627255248</v>
      </c>
    </row>
    <row r="46" spans="3:8">
      <c r="C46" s="221" t="str">
        <f>+IF(Índice!$D$2=1,"Saldo primário","Primary balance")</f>
        <v>Primary balance</v>
      </c>
      <c r="D46" s="132">
        <v>51066.79449</v>
      </c>
      <c r="E46" s="132">
        <v>5215.8614000000089</v>
      </c>
      <c r="F46" s="132">
        <v>11770.486710000008</v>
      </c>
      <c r="G46" s="132">
        <v>68053.142600000021</v>
      </c>
      <c r="H46" s="132">
        <v>-7.1536674125337267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29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294"/>
      <c r="E48" s="294"/>
      <c r="F48" s="294"/>
      <c r="G48" s="294"/>
    </row>
    <row r="49" spans="3:7" ht="9" customHeight="1">
      <c r="C49" s="294"/>
      <c r="D49" s="294"/>
      <c r="E49" s="294"/>
      <c r="F49" s="294"/>
      <c r="G49" s="294"/>
    </row>
    <row r="50" spans="3:7" ht="9" customHeight="1">
      <c r="C50" s="294"/>
      <c r="D50" s="294"/>
      <c r="E50" s="294"/>
      <c r="F50" s="294"/>
      <c r="G50" s="294"/>
    </row>
    <row r="51" spans="3:7" ht="9" customHeight="1">
      <c r="C51" s="29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294"/>
      <c r="E51" s="294"/>
      <c r="F51" s="294"/>
      <c r="G51" s="294"/>
    </row>
    <row r="52" spans="3:7" ht="9" customHeight="1">
      <c r="C52" s="294"/>
      <c r="D52" s="294"/>
      <c r="E52" s="294"/>
      <c r="F52" s="294"/>
      <c r="G52" s="294"/>
    </row>
    <row r="53" spans="3:7" ht="9" customHeight="1">
      <c r="C53" s="294"/>
      <c r="D53" s="294"/>
      <c r="E53" s="294"/>
      <c r="F53" s="294"/>
      <c r="G53" s="29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5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TABLE II - Regional Gov. budget execution (january)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103642.13907999999</v>
      </c>
      <c r="E5" s="225">
        <v>108392.02048000001</v>
      </c>
      <c r="F5" s="225">
        <v>4.5829634955079745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52128.657659999997</v>
      </c>
      <c r="E6" s="231">
        <v>53454.515039999998</v>
      </c>
      <c r="F6" s="231">
        <v>2.543432805516832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52128.657659999997</v>
      </c>
      <c r="E8" s="231">
        <v>53454.515039999998</v>
      </c>
      <c r="F8" s="231">
        <v>2.543432805516832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51513.481419999996</v>
      </c>
      <c r="E9" s="231">
        <v>54937.505440000001</v>
      </c>
      <c r="F9" s="231">
        <v>6.6468503498787745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22666.70061</v>
      </c>
      <c r="E10" s="232">
        <v>2317.85869</v>
      </c>
      <c r="F10" s="232">
        <v>-89.774168151418493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126308.83968999999</v>
      </c>
      <c r="E12" s="232">
        <v>110709.87917</v>
      </c>
      <c r="F12" s="232">
        <v>-12.349856556583493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83964.218269999968</v>
      </c>
      <c r="E14" s="232">
        <v>75390.465060000002</v>
      </c>
      <c r="F14" s="232">
        <v>-10.211198754247597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27719.057249999965</v>
      </c>
      <c r="E15" s="231">
        <v>31742.183279999997</v>
      </c>
      <c r="F15" s="231">
        <v>14.513935281835888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2227.7080000000005</v>
      </c>
      <c r="E16" s="231">
        <v>13147.08548</v>
      </c>
      <c r="F16" s="231">
        <v>490.16197275405915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18562.689609999994</v>
      </c>
      <c r="E17" s="231">
        <v>17212.138990000003</v>
      </c>
      <c r="F17" s="231">
        <v>-7.2756192576340251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35430.114120000006</v>
      </c>
      <c r="E18" s="231">
        <v>13171.261110000001</v>
      </c>
      <c r="F18" s="231">
        <v>-62.824672070234925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31929.447470000006</v>
      </c>
      <c r="E19" s="231">
        <v>9569.1208700000007</v>
      </c>
      <c r="F19" s="231">
        <v>-70.0304213563643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3500.6666500000001</v>
      </c>
      <c r="E20" s="231">
        <v>3602.1402400000002</v>
      </c>
      <c r="F20" s="231">
        <v>2.8986933103156254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0</v>
      </c>
      <c r="E21" s="231">
        <v>97.528619999999989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24.649289999999997</v>
      </c>
      <c r="E22" s="231">
        <v>20.267580000000002</v>
      </c>
      <c r="F22" s="231">
        <v>-17.776211809751906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2888.6174799999999</v>
      </c>
      <c r="E23" s="232">
        <v>1464.7586100000001</v>
      </c>
      <c r="F23" s="232">
        <v>-49.292053373574397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122.68176</v>
      </c>
      <c r="E24" s="231">
        <v>4.4256900000000003</v>
      </c>
      <c r="F24" s="231">
        <v>-96.392544417360824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2765.9357199999999</v>
      </c>
      <c r="E25" s="231">
        <v>1460.3329200000001</v>
      </c>
      <c r="F25" s="231">
        <v>-47.202933551904813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425.93571999999995</v>
      </c>
      <c r="E26" s="231">
        <v>797.80600000000004</v>
      </c>
      <c r="F26" s="231">
        <v>87.306666836958442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2340</v>
      </c>
      <c r="E27" s="231">
        <v>662.52692000000002</v>
      </c>
      <c r="F27" s="231">
        <v>-71.686883760683756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86852.835749999969</v>
      </c>
      <c r="E29" s="235">
        <v>76855.223670000007</v>
      </c>
      <c r="F29" s="235">
        <v>-11.510979455843461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39456.003940000024</v>
      </c>
      <c r="E31" s="139">
        <v>33854.655500000001</v>
      </c>
      <c r="F31" s="139">
        <v>-14.196441303376506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19677.920810000025</v>
      </c>
      <c r="E33" s="19">
        <v>33001.555420000004</v>
      </c>
      <c r="F33" s="19">
        <v>67.708548777313453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19778.083129999999</v>
      </c>
      <c r="E34" s="19">
        <v>853.10007999999993</v>
      </c>
      <c r="F34" s="19">
        <v>-95.686639223869008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58018.693550000018</v>
      </c>
      <c r="E35" s="19">
        <v>51066.79449</v>
      </c>
      <c r="F35" s="19">
        <v>-11.982170977374606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0</v>
      </c>
      <c r="E36" s="106">
        <v>0</v>
      </c>
      <c r="F36" s="106">
        <v>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295"/>
      <c r="D38" s="295"/>
      <c r="E38" s="295"/>
      <c r="F38" s="29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4" sqref="J14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TABLE III - Regional Gov. tax revenue budget execution (january)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52128.657659999997</v>
      </c>
      <c r="E5" s="33">
        <v>53454.515039999998</v>
      </c>
      <c r="F5" s="270">
        <v>3.9705130351524849E-2</v>
      </c>
      <c r="G5" s="270">
        <v>2.543432805516832E-2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52128.657659999997</v>
      </c>
      <c r="E11" s="70">
        <v>53454.515039999998</v>
      </c>
      <c r="F11" s="271">
        <v>6.2154228116091018E-2</v>
      </c>
      <c r="G11" s="271">
        <v>2.543432805516832E-2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50049.295149999998</v>
      </c>
      <c r="E13" s="70">
        <v>53454.515039999998</v>
      </c>
      <c r="F13" s="271">
        <v>8.2333348797449343E-2</v>
      </c>
      <c r="G13" s="271">
        <v>6.803731960249193E-2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344.02423000000005</v>
      </c>
      <c r="E15" s="70">
        <v>0</v>
      </c>
      <c r="F15" s="271">
        <v>0</v>
      </c>
      <c r="G15" s="271">
        <v>-1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185.92702</v>
      </c>
      <c r="E16" s="70">
        <v>0</v>
      </c>
      <c r="F16" s="271">
        <v>0</v>
      </c>
      <c r="G16" s="271">
        <v>-1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1549.4112599999999</v>
      </c>
      <c r="E17" s="70">
        <v>0</v>
      </c>
      <c r="F17" s="271">
        <v>0</v>
      </c>
      <c r="G17" s="271">
        <v>-1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0</v>
      </c>
      <c r="E18" s="70">
        <v>0</v>
      </c>
      <c r="F18" s="271">
        <v>0</v>
      </c>
      <c r="G18" s="271">
        <v>0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74180.182029999996</v>
      </c>
      <c r="E21" s="33">
        <v>57255.364130000002</v>
      </c>
      <c r="F21" s="270">
        <v>8.9074882077110923E-2</v>
      </c>
      <c r="G21" s="270">
        <v>-0.22815821472580433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126308.83968999999</v>
      </c>
      <c r="E23" s="139">
        <v>110709.87917</v>
      </c>
      <c r="F23" s="274">
        <v>5.5659249826486713E-2</v>
      </c>
      <c r="G23" s="274">
        <v>-0.12349856556583494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9" sqref="J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IV - Execução orçamental da receita não fiscal do Gov. Reg. (janeiro)","TABLE IV - Regional Gov. non-tax revenue budget execution (january)")</f>
        <v>TABLE IV - Regional Gov. non-tax revenue budget execution (january)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52128.657659999997</v>
      </c>
      <c r="E5" s="41">
        <v>53454.515039999998</v>
      </c>
      <c r="F5" s="275">
        <v>3.9705130351524849E-2</v>
      </c>
      <c r="G5" s="42">
        <v>2.543432805516832E-2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74180.182029999996</v>
      </c>
      <c r="E7" s="41">
        <v>57255.364130000002</v>
      </c>
      <c r="F7" s="275">
        <v>8.9074882077110923E-2</v>
      </c>
      <c r="G7" s="42">
        <v>-0.22815821472580433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51513.481419999996</v>
      </c>
      <c r="E8" s="41">
        <v>54937.505440000001</v>
      </c>
      <c r="F8" s="275">
        <v>0.13345513584090546</v>
      </c>
      <c r="G8" s="42">
        <v>6.6468503498787745E-2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718.28930000000003</v>
      </c>
      <c r="E10" s="71">
        <v>622.09451000000013</v>
      </c>
      <c r="F10" s="277">
        <v>1.2912458405160945E-2</v>
      </c>
      <c r="G10" s="43">
        <v>-0.13392207011854396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4.2434099999999999</v>
      </c>
      <c r="E11" s="71">
        <v>4.4269799999999995</v>
      </c>
      <c r="F11" s="277">
        <v>7.2602888450168141E-4</v>
      </c>
      <c r="G11" s="43">
        <v>4.32600196540045E-2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49971.868399999999</v>
      </c>
      <c r="E12" s="71">
        <v>53702.056700000001</v>
      </c>
      <c r="F12" s="277">
        <v>0.15874114843226139</v>
      </c>
      <c r="G12" s="43">
        <v>7.4645764095544687E-2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665.49202000000002</v>
      </c>
      <c r="E13" s="47">
        <v>601.30027999999993</v>
      </c>
      <c r="F13" s="277">
        <v>3.6344913491530233E-2</v>
      </c>
      <c r="G13" s="43">
        <v>-9.6457565336395934E-2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153.58828999999997</v>
      </c>
      <c r="E14" s="71">
        <v>7.62697</v>
      </c>
      <c r="F14" s="277">
        <v>3.0074245469425449E-3</v>
      </c>
      <c r="G14" s="43">
        <v>-0.95034146157887422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22666.70061</v>
      </c>
      <c r="E17" s="41">
        <v>2317.85869</v>
      </c>
      <c r="F17" s="275">
        <v>1.002869567342745E-2</v>
      </c>
      <c r="G17" s="42">
        <v>-0.89774168151418487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7.8948</v>
      </c>
      <c r="E18" s="71">
        <v>333.9</v>
      </c>
      <c r="F18" s="277">
        <v>3.6547423264366802E-2</v>
      </c>
      <c r="G18" s="43">
        <v>41.293661650706788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21262.06926</v>
      </c>
      <c r="E19" s="44">
        <v>527.25738000000001</v>
      </c>
      <c r="F19" s="277">
        <v>2.4207051674162887E-3</v>
      </c>
      <c r="G19" s="43">
        <v>-0.97520197241611284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0</v>
      </c>
      <c r="F20" s="277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1396.7365499999999</v>
      </c>
      <c r="E21" s="47">
        <v>1456.7013100000001</v>
      </c>
      <c r="F21" s="277">
        <v>0.35078270683988344</v>
      </c>
      <c r="G21" s="43">
        <v>4.2932047564732345E-2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126308.83968999999</v>
      </c>
      <c r="E23" s="286">
        <v>110709.87917</v>
      </c>
      <c r="F23" s="287">
        <v>5.5659249826486713E-2</v>
      </c>
      <c r="G23" s="287">
        <v>-0.12349856556583494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TABLE V - Regional Gov. expenditure budget execution (january)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297">
        <v>2024</v>
      </c>
      <c r="E3" s="299">
        <v>2025</v>
      </c>
      <c r="F3" s="153">
        <v>2024</v>
      </c>
      <c r="G3" s="153">
        <v>2025</v>
      </c>
      <c r="H3" s="300" t="str">
        <f>+IF(Índice!$D$2=1,"VH (%)","yoy change (%)")</f>
        <v>yoy change (%)</v>
      </c>
    </row>
    <row r="4" spans="1:15" ht="12" customHeight="1">
      <c r="C4" s="132"/>
      <c r="D4" s="298"/>
      <c r="E4" s="298"/>
      <c r="F4" s="296" t="str">
        <f>+IF(Índice!$D$2=1,"Grau de Execução (%)","Execution level (%)")</f>
        <v>Execution level (%)</v>
      </c>
      <c r="G4" s="296" t="str">
        <f>+IF(Índice!$D$2="PT","Grau de Execução (%)","Execution Level (%)")</f>
        <v>Execution Level (%)</v>
      </c>
      <c r="H4" s="30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83964.218269999968</v>
      </c>
      <c r="E5" s="253">
        <v>75390.465060000002</v>
      </c>
      <c r="F5" s="253">
        <v>5.2276534732128317</v>
      </c>
      <c r="G5" s="253">
        <v>4.3621914877906569</v>
      </c>
      <c r="H5" s="253">
        <v>-10.211198754247592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27719.057249999965</v>
      </c>
      <c r="E6" s="74">
        <v>31742.183279999997</v>
      </c>
      <c r="F6" s="74">
        <v>5.7115782078572046</v>
      </c>
      <c r="G6" s="74">
        <v>5.9443226627727057</v>
      </c>
      <c r="H6" s="254">
        <v>14.513935281835883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27040.676989999993</v>
      </c>
      <c r="E7" s="75">
        <v>28025.454529999995</v>
      </c>
      <c r="F7" s="75">
        <v>7.1097036432622165</v>
      </c>
      <c r="G7" s="75">
        <v>6.6888403350469181</v>
      </c>
      <c r="H7" s="254">
        <v>3.6418375929130282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413.61556000000013</v>
      </c>
      <c r="E8" s="75">
        <v>394.57805999999988</v>
      </c>
      <c r="F8" s="75">
        <v>2.8493818706631839</v>
      </c>
      <c r="G8" s="75">
        <v>2.5064418374701232</v>
      </c>
      <c r="H8" s="254">
        <v>-4.6027040181951184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264.76469999999989</v>
      </c>
      <c r="E9" s="75">
        <v>3322.1506900000013</v>
      </c>
      <c r="F9" s="75">
        <v>0.29267838271025287</v>
      </c>
      <c r="G9" s="75">
        <v>3.3468911436159905</v>
      </c>
      <c r="H9" s="254">
        <v>1154.7558983504987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2227.7080000000005</v>
      </c>
      <c r="E10" s="75">
        <v>13147.08548</v>
      </c>
      <c r="F10" s="75">
        <v>1.0043167250575917</v>
      </c>
      <c r="G10" s="75">
        <v>5.5971054702126803</v>
      </c>
      <c r="H10" s="254">
        <v>490.16197275405915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18562.689609999994</v>
      </c>
      <c r="E11" s="75">
        <v>17212.138990000003</v>
      </c>
      <c r="F11" s="75">
        <v>13.553247209134714</v>
      </c>
      <c r="G11" s="75">
        <v>12.727805028402219</v>
      </c>
      <c r="H11" s="254">
        <v>-7.2756192576340304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35430.114120000006</v>
      </c>
      <c r="E12" s="74">
        <v>13171.261110000001</v>
      </c>
      <c r="F12" s="74">
        <v>4.7615267459088528</v>
      </c>
      <c r="G12" s="74">
        <v>1.6350313887403731</v>
      </c>
      <c r="H12" s="254">
        <v>-62.824672070234932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31929.447470000006</v>
      </c>
      <c r="E13" s="74">
        <v>9569.1208700000007</v>
      </c>
      <c r="F13" s="74">
        <v>5.1647460154103753</v>
      </c>
      <c r="G13" s="74">
        <v>1.4508379322424703</v>
      </c>
      <c r="H13" s="254">
        <v>-70.0304213563643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31929.447470000006</v>
      </c>
      <c r="E15" s="75">
        <v>9569.1208700000007</v>
      </c>
      <c r="F15" s="75">
        <v>5.1701806924086702</v>
      </c>
      <c r="G15" s="75">
        <v>1.4532537053306016</v>
      </c>
      <c r="H15" s="254">
        <v>-70.0304213563643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3500.6666500000001</v>
      </c>
      <c r="E18" s="75">
        <v>3602.1402400000002</v>
      </c>
      <c r="F18" s="72">
        <v>2.7811245636382567</v>
      </c>
      <c r="G18" s="72">
        <v>2.4670836190710386</v>
      </c>
      <c r="H18" s="77">
        <v>2.898693310315624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0</v>
      </c>
      <c r="E19" s="72">
        <v>97.528619999999989</v>
      </c>
      <c r="F19" s="72">
        <v>0</v>
      </c>
      <c r="G19" s="72">
        <v>0.78372865327749131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24.649289999999997</v>
      </c>
      <c r="E20" s="72">
        <v>20.267580000000002</v>
      </c>
      <c r="F20" s="72">
        <v>0.3712732841370765</v>
      </c>
      <c r="G20" s="72">
        <v>0.32982143577819817</v>
      </c>
      <c r="H20" s="77">
        <v>-17.776211809751903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65401.528659999974</v>
      </c>
      <c r="E22" s="78">
        <v>58178.326069999996</v>
      </c>
      <c r="F22" s="78">
        <v>4.4515249106190913</v>
      </c>
      <c r="G22" s="78">
        <v>3.6520366714277395</v>
      </c>
      <c r="H22" s="76">
        <v>-11.04439412655157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2888.6174799999999</v>
      </c>
      <c r="E24" s="78">
        <v>1464.7586100000001</v>
      </c>
      <c r="F24" s="78">
        <v>0.8940805998042971</v>
      </c>
      <c r="G24" s="78">
        <v>0.40453104977461907</v>
      </c>
      <c r="H24" s="76">
        <v>-49.292053373574404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122.68176</v>
      </c>
      <c r="E25" s="72">
        <v>4.4256900000000003</v>
      </c>
      <c r="F25" s="72">
        <v>6.261197158324884E-2</v>
      </c>
      <c r="G25" s="72">
        <v>2.2447779313276464E-3</v>
      </c>
      <c r="H25" s="77">
        <v>-96.39254441736081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2765.9357199999999</v>
      </c>
      <c r="E26" s="59">
        <v>1460.3329200000001</v>
      </c>
      <c r="F26" s="59">
        <v>2.2102259831990474</v>
      </c>
      <c r="G26" s="59">
        <v>0.88697957488731283</v>
      </c>
      <c r="H26" s="77">
        <v>-47.202933551904813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425.93571999999995</v>
      </c>
      <c r="E27" s="59">
        <v>797.80600000000004</v>
      </c>
      <c r="F27" s="59">
        <v>0.48262765467706636</v>
      </c>
      <c r="G27" s="59">
        <v>0.81297644947831615</v>
      </c>
      <c r="H27" s="77">
        <v>87.306666836958442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425.93571999999995</v>
      </c>
      <c r="E28" s="72">
        <v>122.806</v>
      </c>
      <c r="F28" s="72">
        <v>3.9513363098374548</v>
      </c>
      <c r="G28" s="72">
        <v>1.2750352304716039</v>
      </c>
      <c r="H28" s="77">
        <v>-71.167949943244963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0</v>
      </c>
      <c r="E29" s="72">
        <v>675</v>
      </c>
      <c r="F29" s="72">
        <v>0</v>
      </c>
      <c r="G29" s="72">
        <v>0.7898691268769118</v>
      </c>
      <c r="H29" s="77" t="s">
        <v>104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86852.835749999969</v>
      </c>
      <c r="E33" s="142">
        <v>76855.223670000007</v>
      </c>
      <c r="F33" s="143">
        <v>4.5019256362054696</v>
      </c>
      <c r="G33" s="143">
        <v>3.6766528163803605</v>
      </c>
      <c r="H33" s="141">
        <v>-11.510979455843461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0</v>
      </c>
      <c r="E36" s="150">
        <v>0</v>
      </c>
      <c r="F36" s="150">
        <v>0</v>
      </c>
      <c r="G36" s="150">
        <v>0</v>
      </c>
      <c r="H36" s="128" t="s">
        <v>104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49459.339980000004</v>
      </c>
      <c r="E37" s="150">
        <v>42791.353379999993</v>
      </c>
      <c r="F37" s="150">
        <v>10.663952235602476</v>
      </c>
      <c r="G37" s="150">
        <v>18.240101780896719</v>
      </c>
      <c r="H37" s="128">
        <v>-13.481754108923333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TABLE VI - Regional Gov. expenditure by functional classification (january)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299">
        <v>2024</v>
      </c>
      <c r="E3" s="302">
        <v>2025</v>
      </c>
      <c r="F3" s="303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298"/>
      <c r="E4" s="298"/>
      <c r="F4" s="29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26316.583790000012</v>
      </c>
      <c r="E5" s="34">
        <v>33323.247909999969</v>
      </c>
      <c r="F5" s="34">
        <v>43.358468453729252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748.34054999999989</v>
      </c>
      <c r="E7" s="34">
        <v>892.3494199999999</v>
      </c>
      <c r="F7" s="34">
        <v>1.1610784243261847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3039.5080799999987</v>
      </c>
      <c r="E8" s="34">
        <v>8987.3998200000005</v>
      </c>
      <c r="F8" s="34">
        <v>11.693934895811372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1392.5171900000003</v>
      </c>
      <c r="E9" s="34">
        <v>0</v>
      </c>
      <c r="F9" s="34">
        <v>0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593.26566999999989</v>
      </c>
      <c r="E10" s="34">
        <v>519.55714999999987</v>
      </c>
      <c r="F10" s="34">
        <v>0.6760206075658155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28066.806590000004</v>
      </c>
      <c r="E11" s="34">
        <v>1738.5736299999999</v>
      </c>
      <c r="F11" s="34">
        <v>2.2621411362551851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999.12662999999986</v>
      </c>
      <c r="E12" s="34">
        <v>1021.6872000000001</v>
      </c>
      <c r="F12" s="34">
        <v>1.3293659834846216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25037.50711999998</v>
      </c>
      <c r="E13" s="34">
        <v>29005.645679999936</v>
      </c>
      <c r="F13" s="34">
        <v>37.740630102833414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659.18013000000008</v>
      </c>
      <c r="E14" s="34">
        <v>1366.76286</v>
      </c>
      <c r="F14" s="34">
        <v>1.7783603959941501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86852.835749999984</v>
      </c>
      <c r="E17" s="145">
        <v>76855.223669999905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0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49459.339980000004</v>
      </c>
      <c r="E21" s="282">
        <v>42791.353379999993</v>
      </c>
      <c r="F21" s="282">
        <v>55.677872415981803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C2" sqref="C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TABLE VII - Budget execution by organic and economic cross-classification (january)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290" t="str">
        <f>+IF(Índice!$D$2=1,"Turismo, Ambiente e Cultura","Tourism, Enviroment and Culture")</f>
        <v>Tourism, Enviroment and Culture</v>
      </c>
      <c r="H3" s="29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1250</v>
      </c>
      <c r="E4" s="194">
        <v>143.61951999999999</v>
      </c>
      <c r="F4" s="194">
        <v>1788.7218199999998</v>
      </c>
      <c r="G4" s="194">
        <v>30026.605529999983</v>
      </c>
      <c r="H4" s="194">
        <v>379.25237000000004</v>
      </c>
      <c r="I4" s="194">
        <v>1970.0271500000001</v>
      </c>
      <c r="J4" s="194">
        <v>31754.319360000001</v>
      </c>
      <c r="K4" s="194">
        <v>1618.6839199999997</v>
      </c>
      <c r="L4" s="194">
        <v>2368.9144799999995</v>
      </c>
      <c r="M4" s="194">
        <v>4090.3209099999999</v>
      </c>
      <c r="N4" s="194">
        <v>75390.465059999988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117.33295999999999</v>
      </c>
      <c r="F5" s="196">
        <v>1156.7013599999998</v>
      </c>
      <c r="G5" s="196">
        <v>24884.275629999982</v>
      </c>
      <c r="H5" s="196">
        <v>269.76782000000003</v>
      </c>
      <c r="I5" s="196">
        <v>367.93023999999997</v>
      </c>
      <c r="J5" s="196">
        <v>2113.2994199999994</v>
      </c>
      <c r="K5" s="196">
        <v>1381.1360699999998</v>
      </c>
      <c r="L5" s="196">
        <v>495.44185999999996</v>
      </c>
      <c r="M5" s="196">
        <v>956.29791999999998</v>
      </c>
      <c r="N5" s="196">
        <v>31742.183279999983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107.97020999999999</v>
      </c>
      <c r="F6" s="197">
        <v>1144.5901399999998</v>
      </c>
      <c r="G6" s="197">
        <v>21478.247389999982</v>
      </c>
      <c r="H6" s="197">
        <v>268.38</v>
      </c>
      <c r="I6" s="197">
        <v>359.55523999999997</v>
      </c>
      <c r="J6" s="197">
        <v>1882.1211199999993</v>
      </c>
      <c r="K6" s="197">
        <v>1354.66779</v>
      </c>
      <c r="L6" s="197">
        <v>491.46513999999996</v>
      </c>
      <c r="M6" s="197">
        <v>938.45749999999998</v>
      </c>
      <c r="N6" s="197">
        <v>28025.454529999985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2.50644</v>
      </c>
      <c r="F7" s="197">
        <v>1.4380999999999999</v>
      </c>
      <c r="G7" s="197">
        <v>154.62985000000003</v>
      </c>
      <c r="H7" s="197">
        <v>0.20327999999999999</v>
      </c>
      <c r="I7" s="197">
        <v>0.94839999999999991</v>
      </c>
      <c r="J7" s="197">
        <v>210.68538999999998</v>
      </c>
      <c r="K7" s="197">
        <v>13.344139999999999</v>
      </c>
      <c r="L7" s="197">
        <v>1.8990300000000002</v>
      </c>
      <c r="M7" s="197">
        <v>8.9234299999999998</v>
      </c>
      <c r="N7" s="197">
        <v>394.57805999999999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6.8563099999999997</v>
      </c>
      <c r="F8" s="197">
        <v>10.673120000000001</v>
      </c>
      <c r="G8" s="197">
        <v>3251.3983899999989</v>
      </c>
      <c r="H8" s="197">
        <v>1.1845400000000001</v>
      </c>
      <c r="I8" s="197">
        <v>7.4266000000000005</v>
      </c>
      <c r="J8" s="197">
        <v>20.492910000000002</v>
      </c>
      <c r="K8" s="197">
        <v>13.124140000000001</v>
      </c>
      <c r="L8" s="197">
        <v>2.07769</v>
      </c>
      <c r="M8" s="197">
        <v>8.9169899999999984</v>
      </c>
      <c r="N8" s="197">
        <v>3322.150689999999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26.120560000000001</v>
      </c>
      <c r="F9" s="196">
        <v>0</v>
      </c>
      <c r="G9" s="196">
        <v>59.773859999999999</v>
      </c>
      <c r="H9" s="196">
        <v>1.5881700000000001</v>
      </c>
      <c r="I9" s="196">
        <v>1.5993999999999999</v>
      </c>
      <c r="J9" s="196">
        <v>11873.137710000001</v>
      </c>
      <c r="K9" s="196">
        <v>12.63251</v>
      </c>
      <c r="L9" s="196">
        <v>3.0666099999999998</v>
      </c>
      <c r="M9" s="196">
        <v>1169.1666599999999</v>
      </c>
      <c r="N9" s="196">
        <v>13147.085480000002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9.6270600000000002</v>
      </c>
      <c r="F10" s="197">
        <v>0</v>
      </c>
      <c r="G10" s="197">
        <v>18.918889999999998</v>
      </c>
      <c r="H10" s="197">
        <v>0.31031000000000003</v>
      </c>
      <c r="I10" s="197">
        <v>0.9589399999999999</v>
      </c>
      <c r="J10" s="197">
        <v>2.0919999999999996</v>
      </c>
      <c r="K10" s="197">
        <v>0</v>
      </c>
      <c r="L10" s="197">
        <v>0.56783000000000006</v>
      </c>
      <c r="M10" s="197">
        <v>0</v>
      </c>
      <c r="N10" s="197">
        <v>32.475029999999997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16.493500000000001</v>
      </c>
      <c r="F11" s="197">
        <v>0</v>
      </c>
      <c r="G11" s="197">
        <v>40.854970000000002</v>
      </c>
      <c r="H11" s="197">
        <v>1.27786</v>
      </c>
      <c r="I11" s="197">
        <v>0.64046000000000003</v>
      </c>
      <c r="J11" s="197">
        <v>11871.04571</v>
      </c>
      <c r="K11" s="197">
        <v>12.63251</v>
      </c>
      <c r="L11" s="197">
        <v>2.49878</v>
      </c>
      <c r="M11" s="197">
        <v>1169.1666599999999</v>
      </c>
      <c r="N11" s="197">
        <v>13114.61045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0</v>
      </c>
      <c r="G12" s="198">
        <v>3.9066000000000001</v>
      </c>
      <c r="H12" s="198">
        <v>0</v>
      </c>
      <c r="I12" s="198">
        <v>0</v>
      </c>
      <c r="J12" s="198">
        <v>17208.232390000001</v>
      </c>
      <c r="K12" s="198">
        <v>0</v>
      </c>
      <c r="L12" s="198">
        <v>0</v>
      </c>
      <c r="M12" s="198">
        <v>0</v>
      </c>
      <c r="N12" s="198">
        <v>17212.138989999999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1250</v>
      </c>
      <c r="E13" s="196">
        <v>0.16600000000000001</v>
      </c>
      <c r="F13" s="196">
        <v>632.02046000000007</v>
      </c>
      <c r="G13" s="196">
        <v>5074.8747299999995</v>
      </c>
      <c r="H13" s="196">
        <v>107.89637999999999</v>
      </c>
      <c r="I13" s="196">
        <v>1600.4975100000001</v>
      </c>
      <c r="J13" s="196">
        <v>547.38688000000002</v>
      </c>
      <c r="K13" s="196">
        <v>220.73643000000001</v>
      </c>
      <c r="L13" s="196">
        <v>1870.4060099999997</v>
      </c>
      <c r="M13" s="196">
        <v>1867.2767099999999</v>
      </c>
      <c r="N13" s="196">
        <v>13171.261110000001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1250</v>
      </c>
      <c r="E14" s="200">
        <v>0</v>
      </c>
      <c r="F14" s="200">
        <v>628.30880000000002</v>
      </c>
      <c r="G14" s="200">
        <v>1505.25045</v>
      </c>
      <c r="H14" s="200">
        <v>107.01414</v>
      </c>
      <c r="I14" s="200">
        <v>1597.5960400000001</v>
      </c>
      <c r="J14" s="200">
        <v>537.87092000000007</v>
      </c>
      <c r="K14" s="200">
        <v>217.62045000000001</v>
      </c>
      <c r="L14" s="200">
        <v>1862.0124399999997</v>
      </c>
      <c r="M14" s="200">
        <v>1863.4476299999999</v>
      </c>
      <c r="N14" s="200">
        <v>9569.1208700000007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1250</v>
      </c>
      <c r="E16" s="198">
        <v>0</v>
      </c>
      <c r="F16" s="198">
        <v>628.30880000000002</v>
      </c>
      <c r="G16" s="198">
        <v>1505.25045</v>
      </c>
      <c r="H16" s="198">
        <v>107.01414</v>
      </c>
      <c r="I16" s="198">
        <v>1597.5960400000001</v>
      </c>
      <c r="J16" s="198">
        <v>537.87092000000007</v>
      </c>
      <c r="K16" s="198">
        <v>217.62045000000001</v>
      </c>
      <c r="L16" s="198">
        <v>1862.0124399999997</v>
      </c>
      <c r="M16" s="198">
        <v>1863.4476299999999</v>
      </c>
      <c r="N16" s="198">
        <v>9569.1208700000007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0.16600000000000001</v>
      </c>
      <c r="F19" s="200">
        <v>3.7116600000000002</v>
      </c>
      <c r="G19" s="200">
        <v>3569.62428</v>
      </c>
      <c r="H19" s="200">
        <v>0.88224000000000002</v>
      </c>
      <c r="I19" s="200">
        <v>2.9014700000000002</v>
      </c>
      <c r="J19" s="200">
        <v>9.5159599999999998</v>
      </c>
      <c r="K19" s="200">
        <v>3.1159800000000004</v>
      </c>
      <c r="L19" s="200">
        <v>8.3935700000000004</v>
      </c>
      <c r="M19" s="200">
        <v>3.8290799999999998</v>
      </c>
      <c r="N19" s="200">
        <v>3602.1402400000002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1007.4777800000002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1007.4777800000002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0</v>
      </c>
      <c r="G22" s="198">
        <v>2024.6228299999998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2024.6228299999998</v>
      </c>
    </row>
    <row r="23" spans="2:14" hidden="1">
      <c r="B23" s="195"/>
      <c r="C23" s="104">
        <v>0</v>
      </c>
      <c r="D23" s="198">
        <v>0</v>
      </c>
      <c r="E23" s="198">
        <v>0.16600000000000001</v>
      </c>
      <c r="F23" s="198">
        <v>3.7116600000000002</v>
      </c>
      <c r="G23" s="198">
        <v>537.52367000000004</v>
      </c>
      <c r="H23" s="198">
        <v>0.88224000000000002</v>
      </c>
      <c r="I23" s="198">
        <v>2.9014700000000002</v>
      </c>
      <c r="J23" s="198">
        <v>9.5159599999999998</v>
      </c>
      <c r="K23" s="198">
        <v>3.1159800000000004</v>
      </c>
      <c r="L23" s="198">
        <v>8.3935700000000004</v>
      </c>
      <c r="M23" s="198">
        <v>3.8290799999999998</v>
      </c>
      <c r="N23" s="198">
        <v>570.03962999999999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97.528619999999989</v>
      </c>
      <c r="N25" s="198">
        <v>97.528619999999989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0</v>
      </c>
      <c r="G26" s="198">
        <v>3.7747100000000002</v>
      </c>
      <c r="H26" s="198">
        <v>0</v>
      </c>
      <c r="I26" s="198">
        <v>0</v>
      </c>
      <c r="J26" s="198">
        <v>12.262960000000001</v>
      </c>
      <c r="K26" s="198">
        <v>4.1789100000000001</v>
      </c>
      <c r="L26" s="198">
        <v>0</v>
      </c>
      <c r="M26" s="198">
        <v>5.0999999999999997E-2</v>
      </c>
      <c r="N26" s="198">
        <v>20.267579999999999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0</v>
      </c>
      <c r="F27" s="32">
        <v>0</v>
      </c>
      <c r="G27" s="32">
        <v>4.1166599999999995</v>
      </c>
      <c r="H27" s="32">
        <v>0</v>
      </c>
      <c r="I27" s="32">
        <v>0</v>
      </c>
      <c r="J27" s="32">
        <v>675.30903000000001</v>
      </c>
      <c r="K27" s="32">
        <v>122.806</v>
      </c>
      <c r="L27" s="32">
        <v>662.52692000000002</v>
      </c>
      <c r="M27" s="32">
        <v>0</v>
      </c>
      <c r="N27" s="32">
        <v>1464.7586100000001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0</v>
      </c>
      <c r="G28" s="198">
        <v>4.1166599999999995</v>
      </c>
      <c r="H28" s="198">
        <v>0</v>
      </c>
      <c r="I28" s="198">
        <v>0</v>
      </c>
      <c r="J28" s="198">
        <v>0.30902999999999997</v>
      </c>
      <c r="K28" s="198">
        <v>0</v>
      </c>
      <c r="L28" s="198">
        <v>0</v>
      </c>
      <c r="M28" s="198">
        <v>0</v>
      </c>
      <c r="N28" s="198">
        <v>4.4256899999999995</v>
      </c>
    </row>
    <row r="29" spans="2:14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675</v>
      </c>
      <c r="K29" s="196">
        <v>122.806</v>
      </c>
      <c r="L29" s="196">
        <v>662.52692000000002</v>
      </c>
      <c r="M29" s="196">
        <v>0</v>
      </c>
      <c r="N29" s="196">
        <v>1460.3329200000001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675</v>
      </c>
      <c r="K30" s="200">
        <v>122.806</v>
      </c>
      <c r="L30" s="200">
        <v>0</v>
      </c>
      <c r="M30" s="200">
        <v>0</v>
      </c>
      <c r="N30" s="200">
        <v>797.80600000000004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122.806</v>
      </c>
      <c r="L31" s="198">
        <v>0</v>
      </c>
      <c r="M31" s="198">
        <v>0</v>
      </c>
      <c r="N31" s="198">
        <v>122.806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675</v>
      </c>
      <c r="K32" s="198">
        <v>0</v>
      </c>
      <c r="L32" s="198">
        <v>0</v>
      </c>
      <c r="M32" s="198">
        <v>0</v>
      </c>
      <c r="N32" s="198">
        <v>675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662.52692000000002</v>
      </c>
      <c r="M35" s="200">
        <v>0</v>
      </c>
      <c r="N35" s="200">
        <v>662.52692000000002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1250</v>
      </c>
      <c r="E38" s="204">
        <v>143.61951999999999</v>
      </c>
      <c r="F38" s="204">
        <v>1788.7218199999998</v>
      </c>
      <c r="G38" s="204">
        <v>30030.722189999982</v>
      </c>
      <c r="H38" s="204">
        <v>379.25237000000004</v>
      </c>
      <c r="I38" s="204">
        <v>1970.0271500000001</v>
      </c>
      <c r="J38" s="204">
        <v>32429.628390000002</v>
      </c>
      <c r="K38" s="204">
        <v>1741.4899199999998</v>
      </c>
      <c r="L38" s="204">
        <v>3031.4413999999997</v>
      </c>
      <c r="M38" s="204">
        <v>4090.3209099999999</v>
      </c>
      <c r="N38" s="204">
        <v>76855.223669999978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42791.353379999993</v>
      </c>
      <c r="K41" s="200">
        <v>0</v>
      </c>
      <c r="L41" s="200">
        <v>0</v>
      </c>
      <c r="M41" s="200">
        <v>0</v>
      </c>
      <c r="N41" s="200">
        <v>42791.353379999993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9155.3003500000013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04" t="str">
        <f>+IF(Índice!$D$2=1,"Fonte: Secretaria Regional das Finanças","Source: Regional Finance Secretariat")</f>
        <v>Source: Regional Finance Secretariat</v>
      </c>
      <c r="D46" s="304" t="str">
        <f>+IF(Índice!$D$2="PT","Fonte: Vice-Presidência do Governo Regional","Source: Vice-Presidency of the Regional Government")</f>
        <v>Source: Vice-Presidency of the Regional Government</v>
      </c>
      <c r="E46" s="30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16</vt:i4>
      </vt:variant>
    </vt:vector>
  </HeadingPairs>
  <TitlesOfParts>
    <vt:vector size="30" baseType="lpstr">
      <vt:lpstr>CAPA ENG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2026-02-27T16:29:19Z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