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Fevereiro\"/>
    </mc:Choice>
  </mc:AlternateContent>
  <xr:revisionPtr revIDLastSave="0" documentId="13_ncr:1_{EB53ED02-B44B-4833-93CB-023E92DADC90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CAPA (PT)" sheetId="56" state="veryHidden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1_12_13_14_Compromissos" sheetId="38" r:id="rId16"/>
    <sheet name="Pagamentos_Atraso " sheetId="53" r:id="rId17"/>
  </sheets>
  <externalReferences>
    <externalReference r:id="rId18"/>
    <externalReference r:id="rId19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Q_11_12_13_14_Compromissos!$C$1:$I$48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2" i="38" l="1"/>
  <c r="D42" i="38"/>
  <c r="C41" i="38"/>
  <c r="G33" i="38"/>
  <c r="D33" i="38"/>
  <c r="C32" i="38"/>
  <c r="G24" i="38"/>
  <c r="D24" i="38"/>
  <c r="C23" i="38"/>
  <c r="G3" i="38"/>
  <c r="D3" i="38"/>
  <c r="C2" i="38"/>
  <c r="C2" i="51"/>
  <c r="C2" i="13"/>
  <c r="C2" i="39"/>
  <c r="C2" i="12"/>
  <c r="C2" i="11"/>
  <c r="C2" i="10"/>
  <c r="A8" i="54" s="1"/>
  <c r="C2" i="50"/>
  <c r="C2" i="9"/>
  <c r="C2" i="32"/>
  <c r="C2" i="8"/>
  <c r="F3" i="11"/>
  <c r="I47" i="38"/>
  <c r="H47" i="38"/>
  <c r="G47" i="38"/>
  <c r="F47" i="38"/>
  <c r="E47" i="38"/>
  <c r="D47" i="38"/>
  <c r="I46" i="38"/>
  <c r="H46" i="38"/>
  <c r="G46" i="38"/>
  <c r="F46" i="38"/>
  <c r="E46" i="38"/>
  <c r="D46" i="38"/>
  <c r="I45" i="38"/>
  <c r="H45" i="38"/>
  <c r="G45" i="38"/>
  <c r="F45" i="38"/>
  <c r="E45" i="38"/>
  <c r="D45" i="38"/>
  <c r="I38" i="38"/>
  <c r="H38" i="38"/>
  <c r="G38" i="38"/>
  <c r="F38" i="38"/>
  <c r="E38" i="38"/>
  <c r="D38" i="38"/>
  <c r="I37" i="38"/>
  <c r="H37" i="38"/>
  <c r="G37" i="38"/>
  <c r="F37" i="38"/>
  <c r="E37" i="38"/>
  <c r="D37" i="38"/>
  <c r="I36" i="38"/>
  <c r="H36" i="38"/>
  <c r="G36" i="38"/>
  <c r="F36" i="38"/>
  <c r="E36" i="38"/>
  <c r="D36" i="38"/>
  <c r="I29" i="38"/>
  <c r="H29" i="38"/>
  <c r="G29" i="38"/>
  <c r="F29" i="38"/>
  <c r="E29" i="38"/>
  <c r="D29" i="38"/>
  <c r="I28" i="38"/>
  <c r="H28" i="38"/>
  <c r="G28" i="38"/>
  <c r="F28" i="38"/>
  <c r="E28" i="38"/>
  <c r="D28" i="38"/>
  <c r="I27" i="38"/>
  <c r="H27" i="38"/>
  <c r="G27" i="38"/>
  <c r="F27" i="38"/>
  <c r="E27" i="38"/>
  <c r="D27" i="38"/>
  <c r="I19" i="38"/>
  <c r="H19" i="38"/>
  <c r="G19" i="38"/>
  <c r="F19" i="38"/>
  <c r="E19" i="38"/>
  <c r="D19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F15" i="38"/>
  <c r="E15" i="38"/>
  <c r="D15" i="38"/>
  <c r="I14" i="38"/>
  <c r="H14" i="38"/>
  <c r="G14" i="38"/>
  <c r="F14" i="38"/>
  <c r="E14" i="38"/>
  <c r="D14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D9" i="38"/>
  <c r="I8" i="38"/>
  <c r="H8" i="38"/>
  <c r="G8" i="38"/>
  <c r="F8" i="38"/>
  <c r="E8" i="38"/>
  <c r="D8" i="38"/>
  <c r="I7" i="38"/>
  <c r="H7" i="38"/>
  <c r="G7" i="38"/>
  <c r="F7" i="38"/>
  <c r="E7" i="38"/>
  <c r="D7" i="38"/>
  <c r="I6" i="38"/>
  <c r="H6" i="38"/>
  <c r="G6" i="38"/>
  <c r="F6" i="38"/>
  <c r="E6" i="38"/>
  <c r="D6" i="38"/>
  <c r="F44" i="51"/>
  <c r="E44" i="51"/>
  <c r="D44" i="51"/>
  <c r="F40" i="51"/>
  <c r="E40" i="51"/>
  <c r="D40" i="51"/>
  <c r="F39" i="51"/>
  <c r="E39" i="51"/>
  <c r="D39" i="51"/>
  <c r="F38" i="51"/>
  <c r="E38" i="51"/>
  <c r="D38" i="51"/>
  <c r="F36" i="51"/>
  <c r="E36" i="51"/>
  <c r="D36" i="51"/>
  <c r="F34" i="51"/>
  <c r="E34" i="51"/>
  <c r="D34" i="51"/>
  <c r="F33" i="51"/>
  <c r="E33" i="51"/>
  <c r="D33" i="51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6" i="51"/>
  <c r="E26" i="51"/>
  <c r="D26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D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E7" i="51"/>
  <c r="D7" i="51"/>
  <c r="F6" i="51"/>
  <c r="E6" i="51"/>
  <c r="D6" i="51"/>
  <c r="F5" i="51"/>
  <c r="E5" i="51"/>
  <c r="D5" i="51"/>
  <c r="F4" i="51"/>
  <c r="E4" i="51"/>
  <c r="D4" i="51"/>
  <c r="F10" i="13"/>
  <c r="E10" i="13"/>
  <c r="D10" i="13"/>
  <c r="F9" i="13"/>
  <c r="E9" i="13"/>
  <c r="D9" i="13"/>
  <c r="F8" i="13"/>
  <c r="E8" i="13"/>
  <c r="D8" i="13"/>
  <c r="F7" i="13"/>
  <c r="E7" i="13"/>
  <c r="D7" i="13"/>
  <c r="F4" i="13"/>
  <c r="E4" i="13"/>
  <c r="D4" i="13"/>
  <c r="E5" i="39"/>
  <c r="D5" i="39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F21" i="11"/>
  <c r="E21" i="11"/>
  <c r="D21" i="11"/>
  <c r="F20" i="11"/>
  <c r="E20" i="11"/>
  <c r="D20" i="11"/>
  <c r="F17" i="11"/>
  <c r="E17" i="11"/>
  <c r="D17" i="11"/>
  <c r="F14" i="11"/>
  <c r="E14" i="11"/>
  <c r="D14" i="11"/>
  <c r="F13" i="11"/>
  <c r="E13" i="11"/>
  <c r="D13" i="11"/>
  <c r="F12" i="11"/>
  <c r="E12" i="11"/>
  <c r="D12" i="11"/>
  <c r="F11" i="11"/>
  <c r="E11" i="11"/>
  <c r="D11" i="11"/>
  <c r="F10" i="11"/>
  <c r="E10" i="11"/>
  <c r="D10" i="11"/>
  <c r="F9" i="11"/>
  <c r="E9" i="11"/>
  <c r="D9" i="11"/>
  <c r="F8" i="11"/>
  <c r="E8" i="11"/>
  <c r="D8" i="11"/>
  <c r="F7" i="11"/>
  <c r="E7" i="11"/>
  <c r="D7" i="11"/>
  <c r="F6" i="11"/>
  <c r="E6" i="11"/>
  <c r="D6" i="11"/>
  <c r="F5" i="11"/>
  <c r="E5" i="11"/>
  <c r="D5" i="11"/>
  <c r="H37" i="10"/>
  <c r="G37" i="10"/>
  <c r="F37" i="10"/>
  <c r="E37" i="10"/>
  <c r="D37" i="10"/>
  <c r="H36" i="10"/>
  <c r="G36" i="10"/>
  <c r="F36" i="10"/>
  <c r="E36" i="10"/>
  <c r="D36" i="10"/>
  <c r="H33" i="10"/>
  <c r="G33" i="10"/>
  <c r="F33" i="10"/>
  <c r="E33" i="10"/>
  <c r="D33" i="10"/>
  <c r="H31" i="10"/>
  <c r="G31" i="10"/>
  <c r="F31" i="10"/>
  <c r="E31" i="10"/>
  <c r="D31" i="10"/>
  <c r="H30" i="10"/>
  <c r="G30" i="10"/>
  <c r="F30" i="10"/>
  <c r="E30" i="10"/>
  <c r="D30" i="10"/>
  <c r="H29" i="10"/>
  <c r="G29" i="10"/>
  <c r="F29" i="10"/>
  <c r="E29" i="10"/>
  <c r="D29" i="10"/>
  <c r="H28" i="10"/>
  <c r="G28" i="10"/>
  <c r="F28" i="10"/>
  <c r="E28" i="10"/>
  <c r="D28" i="10"/>
  <c r="H27" i="10"/>
  <c r="G27" i="10"/>
  <c r="F27" i="10"/>
  <c r="E27" i="10"/>
  <c r="D27" i="10"/>
  <c r="H26" i="10"/>
  <c r="G26" i="10"/>
  <c r="F26" i="10"/>
  <c r="E26" i="10"/>
  <c r="D26" i="10"/>
  <c r="H25" i="10"/>
  <c r="G25" i="10"/>
  <c r="F25" i="10"/>
  <c r="E25" i="10"/>
  <c r="D25" i="10"/>
  <c r="H24" i="10"/>
  <c r="G24" i="10"/>
  <c r="F24" i="10"/>
  <c r="E24" i="10"/>
  <c r="D24" i="10"/>
  <c r="H22" i="10"/>
  <c r="G22" i="10"/>
  <c r="F22" i="10"/>
  <c r="E22" i="10"/>
  <c r="D22" i="10"/>
  <c r="H20" i="10"/>
  <c r="G20" i="10"/>
  <c r="F20" i="10"/>
  <c r="E20" i="10"/>
  <c r="D20" i="10"/>
  <c r="H19" i="10"/>
  <c r="G19" i="10"/>
  <c r="F19" i="10"/>
  <c r="E19" i="10"/>
  <c r="D19" i="10"/>
  <c r="H18" i="10"/>
  <c r="G18" i="10"/>
  <c r="F18" i="10"/>
  <c r="E18" i="10"/>
  <c r="D18" i="10"/>
  <c r="H17" i="10"/>
  <c r="G17" i="10"/>
  <c r="F17" i="10"/>
  <c r="E17" i="10"/>
  <c r="D17" i="10"/>
  <c r="H16" i="10"/>
  <c r="G16" i="10"/>
  <c r="F16" i="10"/>
  <c r="E16" i="10"/>
  <c r="D16" i="10"/>
  <c r="H15" i="10"/>
  <c r="G15" i="10"/>
  <c r="F15" i="10"/>
  <c r="E15" i="10"/>
  <c r="D15" i="10"/>
  <c r="H14" i="10"/>
  <c r="G14" i="10"/>
  <c r="F14" i="10"/>
  <c r="E14" i="10"/>
  <c r="D14" i="10"/>
  <c r="H13" i="10"/>
  <c r="G13" i="10"/>
  <c r="F13" i="10"/>
  <c r="E13" i="10"/>
  <c r="D13" i="10"/>
  <c r="H12" i="10"/>
  <c r="G12" i="10"/>
  <c r="F12" i="10"/>
  <c r="E12" i="10"/>
  <c r="D12" i="10"/>
  <c r="H11" i="10"/>
  <c r="G11" i="10"/>
  <c r="F11" i="10"/>
  <c r="E11" i="10"/>
  <c r="D11" i="10"/>
  <c r="H10" i="10"/>
  <c r="G10" i="10"/>
  <c r="F10" i="10"/>
  <c r="E10" i="10"/>
  <c r="D10" i="10"/>
  <c r="H9" i="10"/>
  <c r="G9" i="10"/>
  <c r="F9" i="10"/>
  <c r="E9" i="10"/>
  <c r="D9" i="10"/>
  <c r="H8" i="10"/>
  <c r="G8" i="10"/>
  <c r="F8" i="10"/>
  <c r="E8" i="10"/>
  <c r="D8" i="10"/>
  <c r="H7" i="10"/>
  <c r="G7" i="10"/>
  <c r="F7" i="10"/>
  <c r="E7" i="10"/>
  <c r="D7" i="10"/>
  <c r="H6" i="10"/>
  <c r="G6" i="10"/>
  <c r="F6" i="10"/>
  <c r="E6" i="10"/>
  <c r="D6" i="10"/>
  <c r="H5" i="10"/>
  <c r="G5" i="10"/>
  <c r="F5" i="10"/>
  <c r="E5" i="10"/>
  <c r="D5" i="10"/>
  <c r="G23" i="50"/>
  <c r="F23" i="50"/>
  <c r="E23" i="50"/>
  <c r="D23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G7" i="50"/>
  <c r="F7" i="50"/>
  <c r="E7" i="50"/>
  <c r="D7" i="50"/>
  <c r="G5" i="50"/>
  <c r="F5" i="50"/>
  <c r="E5" i="50"/>
  <c r="D5" i="50"/>
  <c r="G23" i="9"/>
  <c r="F23" i="9"/>
  <c r="E23" i="9"/>
  <c r="D23" i="9"/>
  <c r="G21" i="9"/>
  <c r="F21" i="9"/>
  <c r="E21" i="9"/>
  <c r="D21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5" i="9"/>
  <c r="F5" i="9"/>
  <c r="E5" i="9"/>
  <c r="D5" i="9"/>
  <c r="F36" i="8"/>
  <c r="E36" i="8"/>
  <c r="D36" i="8"/>
  <c r="F35" i="8"/>
  <c r="E35" i="8"/>
  <c r="D35" i="8"/>
  <c r="F34" i="8"/>
  <c r="E34" i="8"/>
  <c r="D34" i="8"/>
  <c r="F33" i="8"/>
  <c r="E33" i="8"/>
  <c r="D33" i="8"/>
  <c r="F31" i="8"/>
  <c r="E31" i="8"/>
  <c r="D31" i="8"/>
  <c r="F29" i="8"/>
  <c r="E29" i="8"/>
  <c r="D29" i="8"/>
  <c r="F27" i="8"/>
  <c r="E27" i="8"/>
  <c r="D27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F21" i="8"/>
  <c r="E21" i="8"/>
  <c r="D21" i="8"/>
  <c r="F20" i="8"/>
  <c r="E20" i="8"/>
  <c r="D20" i="8"/>
  <c r="F19" i="8"/>
  <c r="E19" i="8"/>
  <c r="D19" i="8"/>
  <c r="F18" i="8"/>
  <c r="E18" i="8"/>
  <c r="D18" i="8"/>
  <c r="F17" i="8"/>
  <c r="E17" i="8"/>
  <c r="D17" i="8"/>
  <c r="F16" i="8"/>
  <c r="E16" i="8"/>
  <c r="D16" i="8"/>
  <c r="F15" i="8"/>
  <c r="E15" i="8"/>
  <c r="D15" i="8"/>
  <c r="F14" i="8"/>
  <c r="E14" i="8"/>
  <c r="D14" i="8"/>
  <c r="F12" i="8"/>
  <c r="E12" i="8"/>
  <c r="D12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H46" i="32"/>
  <c r="G46" i="32"/>
  <c r="F46" i="32"/>
  <c r="E46" i="32"/>
  <c r="D46" i="32"/>
  <c r="H45" i="32"/>
  <c r="G45" i="32"/>
  <c r="F45" i="32"/>
  <c r="E45" i="32"/>
  <c r="D45" i="32"/>
  <c r="H44" i="32"/>
  <c r="G44" i="32"/>
  <c r="F44" i="32"/>
  <c r="E44" i="32"/>
  <c r="D44" i="32"/>
  <c r="H43" i="32"/>
  <c r="G43" i="32"/>
  <c r="F43" i="32"/>
  <c r="E43" i="32"/>
  <c r="D43" i="32"/>
  <c r="H42" i="32"/>
  <c r="G42" i="32"/>
  <c r="F42" i="32"/>
  <c r="E42" i="32"/>
  <c r="D42" i="32"/>
  <c r="H41" i="32"/>
  <c r="G41" i="32"/>
  <c r="F41" i="32"/>
  <c r="E41" i="32"/>
  <c r="D41" i="32"/>
  <c r="H39" i="32"/>
  <c r="G39" i="32"/>
  <c r="F39" i="32"/>
  <c r="E39" i="32"/>
  <c r="D39" i="32"/>
  <c r="H38" i="32"/>
  <c r="G38" i="32"/>
  <c r="F38" i="32"/>
  <c r="E38" i="32"/>
  <c r="D38" i="32"/>
  <c r="H36" i="32"/>
  <c r="G36" i="32"/>
  <c r="F36" i="32"/>
  <c r="E36" i="32"/>
  <c r="D36" i="32"/>
  <c r="H35" i="32"/>
  <c r="G35" i="32"/>
  <c r="F35" i="32"/>
  <c r="E35" i="32"/>
  <c r="D35" i="32"/>
  <c r="H34" i="32"/>
  <c r="G34" i="32"/>
  <c r="F34" i="32"/>
  <c r="E34" i="32"/>
  <c r="D34" i="32"/>
  <c r="H33" i="32"/>
  <c r="G33" i="32"/>
  <c r="F33" i="32"/>
  <c r="E33" i="32"/>
  <c r="D33" i="32"/>
  <c r="H32" i="32"/>
  <c r="G32" i="32"/>
  <c r="F32" i="32"/>
  <c r="E32" i="32"/>
  <c r="D32" i="32"/>
  <c r="H31" i="32"/>
  <c r="G31" i="32"/>
  <c r="F31" i="32"/>
  <c r="E31" i="32"/>
  <c r="D31" i="32"/>
  <c r="H30" i="32"/>
  <c r="G30" i="32"/>
  <c r="F30" i="32"/>
  <c r="E30" i="32"/>
  <c r="D30" i="32"/>
  <c r="H29" i="32"/>
  <c r="G29" i="32"/>
  <c r="F29" i="32"/>
  <c r="E29" i="32"/>
  <c r="D29" i="32"/>
  <c r="H28" i="32"/>
  <c r="G28" i="32"/>
  <c r="F28" i="32"/>
  <c r="E28" i="32"/>
  <c r="D28" i="32"/>
  <c r="H27" i="32"/>
  <c r="G27" i="32"/>
  <c r="F27" i="32"/>
  <c r="E27" i="32"/>
  <c r="D27" i="32"/>
  <c r="H26" i="32"/>
  <c r="G26" i="32"/>
  <c r="F26" i="32"/>
  <c r="E26" i="32"/>
  <c r="D26" i="32"/>
  <c r="H25" i="32"/>
  <c r="G25" i="32"/>
  <c r="F25" i="32"/>
  <c r="E25" i="32"/>
  <c r="D25" i="32"/>
  <c r="H24" i="32"/>
  <c r="G24" i="32"/>
  <c r="F24" i="32"/>
  <c r="E24" i="32"/>
  <c r="D24" i="32"/>
  <c r="H23" i="32"/>
  <c r="G23" i="32"/>
  <c r="F23" i="32"/>
  <c r="E23" i="32"/>
  <c r="D23" i="32"/>
  <c r="H22" i="32"/>
  <c r="G22" i="32"/>
  <c r="F22" i="32"/>
  <c r="E22" i="32"/>
  <c r="D22" i="32"/>
  <c r="H21" i="32"/>
  <c r="G21" i="32"/>
  <c r="F21" i="32"/>
  <c r="E21" i="32"/>
  <c r="D21" i="32"/>
  <c r="H20" i="32"/>
  <c r="G20" i="32"/>
  <c r="F20" i="32"/>
  <c r="E20" i="32"/>
  <c r="D20" i="32"/>
  <c r="H19" i="32"/>
  <c r="G19" i="32"/>
  <c r="F19" i="32"/>
  <c r="E19" i="32"/>
  <c r="D19" i="32"/>
  <c r="H18" i="32"/>
  <c r="G18" i="32"/>
  <c r="F18" i="32"/>
  <c r="E18" i="32"/>
  <c r="D18" i="32"/>
  <c r="H17" i="32"/>
  <c r="G17" i="32"/>
  <c r="F17" i="32"/>
  <c r="E17" i="32"/>
  <c r="D17" i="32"/>
  <c r="H16" i="32"/>
  <c r="G16" i="32"/>
  <c r="F16" i="32"/>
  <c r="E16" i="32"/>
  <c r="D16" i="32"/>
  <c r="H15" i="32"/>
  <c r="G15" i="32"/>
  <c r="F15" i="32"/>
  <c r="E15" i="32"/>
  <c r="D15" i="32"/>
  <c r="H14" i="32"/>
  <c r="G14" i="32"/>
  <c r="F14" i="32"/>
  <c r="E14" i="32"/>
  <c r="D14" i="32"/>
  <c r="H13" i="32"/>
  <c r="G13" i="32"/>
  <c r="F13" i="32"/>
  <c r="E13" i="32"/>
  <c r="D13" i="32"/>
  <c r="H12" i="32"/>
  <c r="G12" i="32"/>
  <c r="F12" i="32"/>
  <c r="E12" i="32"/>
  <c r="D12" i="32"/>
  <c r="H11" i="32"/>
  <c r="G11" i="32"/>
  <c r="F11" i="32"/>
  <c r="E11" i="32"/>
  <c r="D11" i="32"/>
  <c r="H10" i="32"/>
  <c r="G10" i="32"/>
  <c r="F10" i="32"/>
  <c r="E10" i="32"/>
  <c r="D10" i="32"/>
  <c r="H9" i="32"/>
  <c r="G9" i="32"/>
  <c r="F9" i="32"/>
  <c r="E9" i="32"/>
  <c r="D9" i="32"/>
  <c r="H8" i="32"/>
  <c r="G8" i="32"/>
  <c r="F8" i="32"/>
  <c r="E8" i="32"/>
  <c r="D8" i="32"/>
  <c r="H7" i="32"/>
  <c r="G7" i="32"/>
  <c r="F7" i="32"/>
  <c r="E7" i="32"/>
  <c r="D7" i="32"/>
  <c r="H6" i="32"/>
  <c r="G6" i="32"/>
  <c r="F6" i="32"/>
  <c r="E6" i="32"/>
  <c r="D6" i="32"/>
  <c r="H5" i="32"/>
  <c r="G5" i="32"/>
  <c r="F5" i="32"/>
  <c r="E5" i="32"/>
  <c r="D5" i="32"/>
  <c r="F31" i="61"/>
  <c r="E31" i="61"/>
  <c r="D31" i="61"/>
  <c r="F29" i="61"/>
  <c r="E29" i="61"/>
  <c r="D29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E17" i="61"/>
  <c r="F17" i="61"/>
  <c r="D17" i="61"/>
  <c r="F15" i="61"/>
  <c r="E15" i="61"/>
  <c r="D15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E5" i="61"/>
  <c r="F5" i="61"/>
  <c r="D5" i="61"/>
  <c r="D30" i="60"/>
  <c r="E30" i="60"/>
  <c r="F30" i="60"/>
  <c r="D31" i="60"/>
  <c r="E31" i="60"/>
  <c r="F31" i="60"/>
  <c r="E29" i="60"/>
  <c r="F29" i="60"/>
  <c r="D29" i="60"/>
  <c r="F27" i="60"/>
  <c r="E27" i="60"/>
  <c r="D27" i="60"/>
  <c r="E25" i="60"/>
  <c r="F25" i="60"/>
  <c r="D25" i="60"/>
  <c r="F23" i="60"/>
  <c r="F22" i="60"/>
  <c r="F21" i="60"/>
  <c r="F20" i="60"/>
  <c r="F19" i="60"/>
  <c r="F18" i="60"/>
  <c r="F17" i="60"/>
  <c r="F16" i="60"/>
  <c r="F15" i="60"/>
  <c r="F14" i="60"/>
  <c r="E23" i="60"/>
  <c r="E22" i="60"/>
  <c r="E21" i="60"/>
  <c r="E20" i="60"/>
  <c r="E19" i="60"/>
  <c r="E18" i="60"/>
  <c r="E17" i="60"/>
  <c r="E16" i="60"/>
  <c r="E15" i="60"/>
  <c r="E14" i="60"/>
  <c r="D23" i="60"/>
  <c r="D22" i="60"/>
  <c r="D21" i="60"/>
  <c r="D20" i="60"/>
  <c r="D19" i="60"/>
  <c r="D18" i="60"/>
  <c r="D17" i="60"/>
  <c r="D16" i="60"/>
  <c r="D15" i="60"/>
  <c r="D14" i="60"/>
  <c r="F12" i="60"/>
  <c r="E12" i="60"/>
  <c r="D12" i="60"/>
  <c r="F10" i="60"/>
  <c r="E10" i="60"/>
  <c r="D10" i="60"/>
  <c r="F9" i="60"/>
  <c r="E9" i="60"/>
  <c r="D9" i="60"/>
  <c r="F8" i="60"/>
  <c r="E8" i="60"/>
  <c r="D8" i="60"/>
  <c r="F7" i="60"/>
  <c r="E7" i="60"/>
  <c r="D7" i="60"/>
  <c r="F6" i="60"/>
  <c r="E6" i="60"/>
  <c r="D6" i="60"/>
  <c r="F5" i="60"/>
  <c r="E5" i="60"/>
  <c r="D5" i="60"/>
  <c r="E3" i="60"/>
  <c r="F3" i="60"/>
  <c r="D3" i="60"/>
  <c r="D3" i="61"/>
  <c r="C2" i="61"/>
  <c r="A14" i="54" s="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C2" i="60"/>
  <c r="A5" i="54" s="1"/>
  <c r="C46" i="12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6" i="54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<sst xmlns="http://schemas.openxmlformats.org/spreadsheetml/2006/main" count="119" uniqueCount="103">
  <si>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</si>
  <si>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</si>
  <si>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</si>
  <si>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</si>
  <si>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</si>
  <si>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</si>
  <si>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</si>
  <si>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</si>
  <si>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</si>
  <si>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</si>
  <si>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</si>
  <si>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</si>
  <si>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</si>
  <si>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</si>
  <si>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</si>
  <si>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</si>
  <si>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</si>
  <si>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</si>
  <si>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</si>
  <si>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</si>
  <si>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</si>
  <si>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</si>
  <si>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</si>
  <si>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</si>
  <si>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</si>
  <si>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</si>
  <si>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</si>
  <si>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</si>
  <si>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</si>
  <si>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</si>
  <si>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</si>
  <si>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</si>
  <si>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</si>
  <si>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</si>
  <si>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</si>
  <si>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</si>
  <si>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</si>
  <si>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</si>
  <si>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</si>
  <si>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</si>
  <si>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</si>
  <si>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</si>
  <si>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</si>
  <si>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</si>
  <si>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</si>
  <si>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</si>
  <si>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</si>
  <si>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</si>
  <si>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</si>
  <si>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</si>
  <si>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</si>
  <si>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</si>
  <si>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</si>
  <si>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</si>
  <si>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</si>
  <si>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</si>
  <si>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</si>
  <si>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</si>
  <si>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</si>
  <si>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</si>
  <si>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</si>
  <si>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</si>
  <si>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</si>
  <si>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</si>
  <si>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</si>
  <si>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</si>
  <si>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</si>
  <si>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</si>
  <si>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</si>
  <si>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</si>
  <si>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</si>
  <si>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</si>
  <si>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</si>
  <si>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</si>
  <si>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</si>
  <si>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</si>
  <si>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</si>
  <si>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</si>
  <si>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</si>
  <si>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</si>
  <si>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</si>
  <si>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</si>
  <si>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</si>
  <si>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</si>
  <si>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</si>
  <si>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</si>
  <si>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</si>
  <si>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</si>
  <si>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</si>
  <si>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</si>
  <si>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</si>
  <si>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</si>
  <si>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Direção Regional de Juventude</t>
  </si>
  <si>
    <t>Direção Regional do Mar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</si>
  <si>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</si>
  <si>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</si>
  <si>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</si>
  <si>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</si>
  <si>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</si>
  <si>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de Pescas</t>
  </si>
  <si>
    <t>EPHTM-Escola Profissional de Hotelaria e Turismo da Madeira</t>
  </si>
  <si>
    <t>Gabinete do Secretario e Serviços Dependentes-SRS</t>
  </si>
  <si>
    <t>Direção Regional da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</si>
</sst>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5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0" fontId="69" fillId="0" borderId="35" xfId="0" applyFont="1" applyBorder="1"/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49" fontId="64" fillId="0" borderId="25" xfId="62" applyNumberFormat="1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/>
    </xf>
    <xf numFmtId="178" fontId="69" fillId="0" borderId="0" xfId="0" applyNumberFormat="1" applyFont="1" applyAlignment="1">
      <alignment vertical="center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03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03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ugo.costa\Documents\USR_DATA\hugo.costa\Hugo\DROC\Boletim%20mensal\2023\Fevereiro\Fevereiro_2023.xlsx" TargetMode="External"/><Relationship Id="rId1" Type="http://schemas.openxmlformats.org/officeDocument/2006/relationships/externalLinkPath" Target="Fevereir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"/>
      <sheetName val="ORG_n1"/>
      <sheetName val="CF"/>
      <sheetName val="Adm R"/>
      <sheetName val="Corr_Func"/>
      <sheetName val="DGO_N_Covid"/>
      <sheetName val="DGO__N1"/>
      <sheetName val="DGO_N"/>
      <sheetName val="REC N1"/>
      <sheetName val="DOREC"/>
      <sheetName val="Desp_N1"/>
      <sheetName val="UKR"/>
      <sheetName val="DODES"/>
      <sheetName val="Síntese Global"/>
      <sheetName val="D_SFA"/>
      <sheetName val="R_SFA"/>
      <sheetName val="RAM_CP (REPORTE)"/>
      <sheetName val="Caderno_SIGO"/>
      <sheetName val="GOV mensal-acumulado"/>
      <sheetName val="COVID"/>
      <sheetName val="Consolidado_Q1"/>
      <sheetName val="GRF"/>
      <sheetName val="Global_Est_Q2_3"/>
      <sheetName val="R_Est_Q4_5"/>
      <sheetName val="D_Est ECO_Q6"/>
      <sheetName val="D_Est_Func_Q7"/>
      <sheetName val="D_Est_Org_Q8"/>
      <sheetName val="Saldo_Global EPR_Q9"/>
      <sheetName val="SFA acumulado_Q10_11"/>
      <sheetName val="SFA+EPR mensal-acumulado_Q12"/>
      <sheetName val="Gov+SFA+EPR_Q13_14"/>
      <sheetName val="Compromissos_Q15_16_17_18"/>
      <sheetName val="Orgânica"/>
      <sheetName val="Pagamentos_Atraso (SI)"/>
      <sheetName val="Pagamentos_Atraso (SFA_EPR)"/>
      <sheetName val="Gloss"/>
      <sheetName val="Gloss_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7">
          <cell r="M67">
            <v>177195.65312999996</v>
          </cell>
          <cell r="N67">
            <v>61850.507890000008</v>
          </cell>
          <cell r="O67">
            <v>40414.840489999995</v>
          </cell>
          <cell r="P67">
            <v>202347.84560999999</v>
          </cell>
          <cell r="R67">
            <v>13.512616601693583</v>
          </cell>
        </row>
        <row r="68">
          <cell r="M68">
            <v>27005.471799999999</v>
          </cell>
          <cell r="N68">
            <v>0</v>
          </cell>
          <cell r="O68">
            <v>0</v>
          </cell>
          <cell r="P68">
            <v>27005.471799999999</v>
          </cell>
          <cell r="R68">
            <v>1.8601570007726442</v>
          </cell>
        </row>
        <row r="69">
          <cell r="M69">
            <v>99958.461719999963</v>
          </cell>
          <cell r="N69">
            <v>0</v>
          </cell>
          <cell r="O69">
            <v>0</v>
          </cell>
          <cell r="P69">
            <v>99958.461719999963</v>
          </cell>
          <cell r="R69">
            <v>15.616875346093062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50231.719610000007</v>
          </cell>
          <cell r="N71">
            <v>61850.507890000008</v>
          </cell>
          <cell r="O71">
            <v>40414.840489999995</v>
          </cell>
          <cell r="P71">
            <v>62852.27459999999</v>
          </cell>
          <cell r="R71">
            <v>1.2001180396033817</v>
          </cell>
        </row>
        <row r="72">
          <cell r="M72">
            <v>45403.528540000007</v>
          </cell>
          <cell r="N72">
            <v>60613.253730000004</v>
          </cell>
          <cell r="O72">
            <v>34875.862099999998</v>
          </cell>
          <cell r="P72">
            <v>51247.850979999974</v>
          </cell>
          <cell r="R72">
            <v>-1.0345063954016687</v>
          </cell>
        </row>
        <row r="73">
          <cell r="M73">
            <v>45312.554100000001</v>
          </cell>
          <cell r="N73">
            <v>294.56554</v>
          </cell>
          <cell r="O73">
            <v>120.90817</v>
          </cell>
          <cell r="P73">
            <v>45728.02781</v>
          </cell>
          <cell r="R73">
            <v>-2.6058991762679673</v>
          </cell>
        </row>
        <row r="74">
          <cell r="M74">
            <v>0</v>
          </cell>
          <cell r="N74">
            <v>55257.014710000018</v>
          </cell>
          <cell r="O74">
            <v>34387.778680000003</v>
          </cell>
          <cell r="P74">
            <v>0</v>
          </cell>
          <cell r="R74">
            <v>0</v>
          </cell>
        </row>
        <row r="75">
          <cell r="P75">
            <v>12531.637490000016</v>
          </cell>
        </row>
        <row r="76">
          <cell r="M76">
            <v>14367.008060000002</v>
          </cell>
          <cell r="N76">
            <v>6852.4982799999998</v>
          </cell>
          <cell r="O76">
            <v>948.76168999999993</v>
          </cell>
          <cell r="P76">
            <v>16443.611090000002</v>
          </cell>
          <cell r="R76">
            <v>3.5940343948014819</v>
          </cell>
        </row>
        <row r="77">
          <cell r="M77">
            <v>131.72499999999999</v>
          </cell>
          <cell r="N77">
            <v>0</v>
          </cell>
          <cell r="O77">
            <v>1.27603</v>
          </cell>
          <cell r="P77">
            <v>133.00102999999999</v>
          </cell>
          <cell r="R77">
            <v>-89.097767220344963</v>
          </cell>
        </row>
        <row r="78">
          <cell r="M78">
            <v>12732.561790000002</v>
          </cell>
          <cell r="N78">
            <v>6838.7145700000001</v>
          </cell>
          <cell r="O78">
            <v>931.06898999999999</v>
          </cell>
          <cell r="P78">
            <v>14721.599970000003</v>
          </cell>
          <cell r="R78">
            <v>9.4155917805758271</v>
          </cell>
        </row>
        <row r="79">
          <cell r="M79">
            <v>11327.24525</v>
          </cell>
          <cell r="N79">
            <v>0</v>
          </cell>
          <cell r="O79">
            <v>0</v>
          </cell>
          <cell r="P79">
            <v>11327.24525</v>
          </cell>
          <cell r="R79">
            <v>-2.4607755840849399</v>
          </cell>
        </row>
        <row r="80">
          <cell r="M80">
            <v>0</v>
          </cell>
          <cell r="N80">
            <v>5057.4097699999993</v>
          </cell>
          <cell r="O80">
            <v>723.33560999999997</v>
          </cell>
          <cell r="P80">
            <v>0</v>
          </cell>
          <cell r="R80">
            <v>0</v>
          </cell>
        </row>
        <row r="81">
          <cell r="P81">
            <v>56.088439999999693</v>
          </cell>
        </row>
        <row r="82">
          <cell r="M82">
            <v>191562.66118999996</v>
          </cell>
          <cell r="N82">
            <v>68703.006170000008</v>
          </cell>
          <cell r="O82">
            <v>41363.602179999994</v>
          </cell>
          <cell r="P82">
            <v>218791.45669999998</v>
          </cell>
          <cell r="R82">
            <v>12.701633327299966</v>
          </cell>
        </row>
        <row r="83">
          <cell r="M83">
            <v>165887.04620999991</v>
          </cell>
          <cell r="N83">
            <v>54378.583659999989</v>
          </cell>
          <cell r="O83">
            <v>40279.944720000014</v>
          </cell>
          <cell r="P83">
            <v>183432.3997699999</v>
          </cell>
          <cell r="R83">
            <v>1.550388612798681</v>
          </cell>
        </row>
        <row r="84">
          <cell r="M84">
            <v>91002.201629999952</v>
          </cell>
          <cell r="N84">
            <v>16647.079690000002</v>
          </cell>
          <cell r="O84">
            <v>38151.162780000013</v>
          </cell>
          <cell r="P84">
            <v>145800.44409999996</v>
          </cell>
          <cell r="R84">
            <v>4.0458240528001843</v>
          </cell>
        </row>
        <row r="85">
          <cell r="M85">
            <v>57055.606709999942</v>
          </cell>
          <cell r="N85">
            <v>6824.8195799999985</v>
          </cell>
          <cell r="O85">
            <v>34754.317450000017</v>
          </cell>
          <cell r="P85">
            <v>98634.743739999947</v>
          </cell>
          <cell r="R85">
            <v>5.0744486174819858</v>
          </cell>
        </row>
        <row r="86">
          <cell r="M86">
            <v>33946.59492000001</v>
          </cell>
          <cell r="N86">
            <v>9822.2601100000029</v>
          </cell>
          <cell r="O86">
            <v>3396.8453300000001</v>
          </cell>
          <cell r="P86">
            <v>47165.700360000017</v>
          </cell>
          <cell r="R86">
            <v>1.9585142955788726</v>
          </cell>
        </row>
        <row r="87">
          <cell r="M87">
            <v>4447.4019800000005</v>
          </cell>
          <cell r="N87">
            <v>706.27884999999992</v>
          </cell>
          <cell r="O87">
            <v>0</v>
          </cell>
          <cell r="P87">
            <v>5153.6619099999998</v>
          </cell>
          <cell r="R87">
            <v>70.201823562360843</v>
          </cell>
        </row>
        <row r="88">
          <cell r="M88">
            <v>18561.6603</v>
          </cell>
          <cell r="N88">
            <v>0.95764000000000005</v>
          </cell>
          <cell r="O88">
            <v>71.499290000000016</v>
          </cell>
          <cell r="P88">
            <v>18634.11723</v>
          </cell>
          <cell r="R88">
            <v>12.358823434475319</v>
          </cell>
        </row>
        <row r="89">
          <cell r="M89">
            <v>51875.78229999997</v>
          </cell>
          <cell r="N89">
            <v>37024.267479999988</v>
          </cell>
          <cell r="O89">
            <v>2057.2826500000001</v>
          </cell>
          <cell r="P89">
            <v>13844.176529999939</v>
          </cell>
          <cell r="R89">
            <v>-33.723357290338321</v>
          </cell>
        </row>
        <row r="90">
          <cell r="M90">
            <v>0</v>
          </cell>
          <cell r="N90">
            <v>296.00664999999998</v>
          </cell>
          <cell r="O90">
            <v>0</v>
          </cell>
          <cell r="P90">
            <v>296.00664999999998</v>
          </cell>
          <cell r="R90">
            <v>-22.22889450620702</v>
          </cell>
        </row>
        <row r="91">
          <cell r="M91">
            <v>44489.738900000004</v>
          </cell>
          <cell r="N91">
            <v>32623.417000000001</v>
          </cell>
          <cell r="O91">
            <v>0</v>
          </cell>
          <cell r="P91">
            <v>0</v>
          </cell>
          <cell r="R91">
            <v>0</v>
          </cell>
        </row>
        <row r="92">
          <cell r="P92">
            <v>0</v>
          </cell>
        </row>
        <row r="93">
          <cell r="M93">
            <v>14978.655149999997</v>
          </cell>
          <cell r="N93">
            <v>5160.1240800000005</v>
          </cell>
          <cell r="O93">
            <v>975.4648900000002</v>
          </cell>
          <cell r="P93">
            <v>15389.587179999995</v>
          </cell>
          <cell r="R93">
            <v>271.66136574952657</v>
          </cell>
        </row>
        <row r="94">
          <cell r="M94">
            <v>8123.1492299999973</v>
          </cell>
          <cell r="N94">
            <v>11.81376</v>
          </cell>
          <cell r="O94">
            <v>975.4648900000002</v>
          </cell>
          <cell r="P94">
            <v>9110.4278799999975</v>
          </cell>
          <cell r="R94">
            <v>400.50040988014564</v>
          </cell>
        </row>
        <row r="95">
          <cell r="M95">
            <v>6855.5059199999996</v>
          </cell>
          <cell r="N95">
            <v>5148.3103200000005</v>
          </cell>
          <cell r="O95">
            <v>0</v>
          </cell>
          <cell r="P95">
            <v>6279.1593000000003</v>
          </cell>
          <cell r="R95">
            <v>179.2525961638446</v>
          </cell>
        </row>
        <row r="96">
          <cell r="M96">
            <v>1099.3473000000001</v>
          </cell>
          <cell r="N96">
            <v>0</v>
          </cell>
          <cell r="O96">
            <v>0</v>
          </cell>
          <cell r="P96">
            <v>1099.3473000000001</v>
          </cell>
          <cell r="R96">
            <v>-18.631729835274403</v>
          </cell>
        </row>
        <row r="97">
          <cell r="M97">
            <v>5716.4013299999997</v>
          </cell>
          <cell r="N97">
            <v>8.2556100000000008</v>
          </cell>
          <cell r="O97">
            <v>0</v>
          </cell>
          <cell r="P97">
            <v>0</v>
          </cell>
          <cell r="R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100">
          <cell r="M100">
            <v>180865.70135999992</v>
          </cell>
          <cell r="N100">
            <v>59538.707739999991</v>
          </cell>
          <cell r="O100">
            <v>41255.409610000024</v>
          </cell>
          <cell r="P100">
            <v>198821.9869499999</v>
          </cell>
          <cell r="R100">
            <v>7.6035754404003564</v>
          </cell>
        </row>
        <row r="101">
          <cell r="M101">
            <v>10696.959830000036</v>
          </cell>
          <cell r="N101">
            <v>9164.2984300000171</v>
          </cell>
          <cell r="O101">
            <v>108.19256999997015</v>
          </cell>
          <cell r="P101">
            <v>19969.469750000077</v>
          </cell>
          <cell r="R101">
            <v>113.33326599500957</v>
          </cell>
        </row>
        <row r="103">
          <cell r="M103">
            <v>11308.606920000049</v>
          </cell>
          <cell r="N103">
            <v>7471.9242300000187</v>
          </cell>
          <cell r="O103">
            <v>134.89576999998098</v>
          </cell>
          <cell r="P103">
            <v>18915.445840000088</v>
          </cell>
          <cell r="R103">
            <v>897.55524699205228</v>
          </cell>
        </row>
        <row r="104">
          <cell r="M104">
            <v>147325.38590999992</v>
          </cell>
          <cell r="N104">
            <v>54377.626019999989</v>
          </cell>
          <cell r="O104">
            <v>40208.445430000014</v>
          </cell>
          <cell r="P104">
            <v>164798.2825399999</v>
          </cell>
          <cell r="R104">
            <v>0.4577035327207879</v>
          </cell>
        </row>
        <row r="105">
          <cell r="M105">
            <v>29870.267220000038</v>
          </cell>
          <cell r="N105">
            <v>7472.8818700000193</v>
          </cell>
          <cell r="O105">
            <v>206.39505999998073</v>
          </cell>
          <cell r="P105">
            <v>37549.563070000091</v>
          </cell>
          <cell r="R105">
            <v>164.19552081543856</v>
          </cell>
        </row>
        <row r="106">
          <cell r="M106">
            <v>-611.64708999999493</v>
          </cell>
          <cell r="N106">
            <v>1692.3741999999993</v>
          </cell>
          <cell r="O106">
            <v>-26.703200000000265</v>
          </cell>
          <cell r="P106">
            <v>1054.0239100000072</v>
          </cell>
          <cell r="R106">
            <v>-91.016104338213324</v>
          </cell>
        </row>
        <row r="107">
          <cell r="M107">
            <v>162304.04105999993</v>
          </cell>
          <cell r="N107">
            <v>59537.75009999999</v>
          </cell>
          <cell r="O107">
            <v>41183.910320000025</v>
          </cell>
          <cell r="P107">
            <v>180187.8697199999</v>
          </cell>
          <cell r="R107">
            <v>7.1346764226405845</v>
          </cell>
        </row>
        <row r="108">
          <cell r="M108">
            <v>29258.620130000025</v>
          </cell>
          <cell r="N108">
            <v>9165.2560700000176</v>
          </cell>
          <cell r="O108">
            <v>179.69185999996989</v>
          </cell>
          <cell r="P108">
            <v>38603.58698000008</v>
          </cell>
          <cell r="R108">
            <v>48.789144808151796</v>
          </cell>
        </row>
      </sheetData>
      <sheetData sheetId="21"/>
      <sheetData sheetId="22">
        <row r="8">
          <cell r="D8">
            <v>163463.62080999999</v>
          </cell>
          <cell r="E8">
            <v>177195.65312999996</v>
          </cell>
          <cell r="F8">
            <v>8.4006656967186899</v>
          </cell>
        </row>
        <row r="9">
          <cell r="D9">
            <v>112968.93792999999</v>
          </cell>
          <cell r="E9">
            <v>126963.93351999996</v>
          </cell>
          <cell r="F9">
            <v>12.388357230260794</v>
          </cell>
        </row>
        <row r="10">
          <cell r="D10">
            <v>26512.301369999997</v>
          </cell>
          <cell r="E10">
            <v>27005.471799999999</v>
          </cell>
          <cell r="F10">
            <v>1.8601570007726664</v>
          </cell>
        </row>
        <row r="11">
          <cell r="D11">
            <v>86456.636559999984</v>
          </cell>
          <cell r="E11">
            <v>99958.461719999963</v>
          </cell>
          <cell r="F11">
            <v>15.616875346093128</v>
          </cell>
        </row>
        <row r="12">
          <cell r="D12">
            <v>50494.68288</v>
          </cell>
          <cell r="E12">
            <v>50231.719610000007</v>
          </cell>
          <cell r="F12">
            <v>-0.52077417859008879</v>
          </cell>
        </row>
        <row r="13">
          <cell r="D13">
            <v>14791.515879999999</v>
          </cell>
          <cell r="E13">
            <v>14367.00806</v>
          </cell>
          <cell r="F13">
            <v>-2.8699412787974388</v>
          </cell>
        </row>
        <row r="15">
          <cell r="D15">
            <v>178255.13668999998</v>
          </cell>
          <cell r="E15">
            <v>191562.66118999996</v>
          </cell>
          <cell r="F15">
            <v>7.4654367594145787</v>
          </cell>
        </row>
        <row r="17">
          <cell r="D17">
            <v>168863.5892800001</v>
          </cell>
          <cell r="E17">
            <v>165887.04620999991</v>
          </cell>
          <cell r="F17">
            <v>-1.7626908694121424</v>
          </cell>
        </row>
        <row r="18">
          <cell r="D18">
            <v>53592.491170000067</v>
          </cell>
          <cell r="E18">
            <v>57055.606709999927</v>
          </cell>
          <cell r="F18">
            <v>6.4619417093610299</v>
          </cell>
        </row>
        <row r="19">
          <cell r="D19">
            <v>34660.988580000019</v>
          </cell>
          <cell r="E19">
            <v>33850.430970000009</v>
          </cell>
          <cell r="F19">
            <v>-2.3385299819974392</v>
          </cell>
        </row>
        <row r="20">
          <cell r="D20">
            <v>16555.739110000002</v>
          </cell>
          <cell r="E20">
            <v>18561.6603</v>
          </cell>
          <cell r="F20">
            <v>12.116168155780983</v>
          </cell>
        </row>
        <row r="21">
          <cell r="D21">
            <v>62314.13731000002</v>
          </cell>
          <cell r="E21">
            <v>51875.782300000006</v>
          </cell>
          <cell r="F21">
            <v>-16.751182734138393</v>
          </cell>
        </row>
        <row r="22">
          <cell r="D22">
            <v>53985.74159000002</v>
          </cell>
          <cell r="E22">
            <v>44489.738900000004</v>
          </cell>
          <cell r="F22">
            <v>-17.589834668046855</v>
          </cell>
        </row>
        <row r="23">
          <cell r="D23">
            <v>8328.3957200000023</v>
          </cell>
          <cell r="E23">
            <v>7386.0433999999987</v>
          </cell>
          <cell r="F23">
            <v>-11.314932091147123</v>
          </cell>
        </row>
        <row r="24">
          <cell r="D24">
            <v>1626.4260699999998</v>
          </cell>
          <cell r="E24">
            <v>4447.4019800000005</v>
          </cell>
          <cell r="F24">
            <v>173.44630426392519</v>
          </cell>
        </row>
        <row r="25">
          <cell r="D25">
            <v>113.80703999999997</v>
          </cell>
          <cell r="E25">
            <v>96.16395</v>
          </cell>
          <cell r="F25">
            <v>-15.502634986376918</v>
          </cell>
        </row>
        <row r="26">
          <cell r="D26">
            <v>5325.380360000001</v>
          </cell>
          <cell r="E26">
            <v>14978.655149999995</v>
          </cell>
          <cell r="F26">
            <v>181.26920778293461</v>
          </cell>
        </row>
        <row r="27">
          <cell r="D27">
            <v>1192.3757600000004</v>
          </cell>
          <cell r="E27">
            <v>8123.1492299999973</v>
          </cell>
          <cell r="F27">
            <v>581.25749470116659</v>
          </cell>
        </row>
        <row r="28">
          <cell r="D28">
            <v>4133.0046000000002</v>
          </cell>
          <cell r="E28">
            <v>6855.5059199999987</v>
          </cell>
          <cell r="F28">
            <v>65.872206384672268</v>
          </cell>
        </row>
        <row r="29">
          <cell r="D29">
            <v>3788.9303200000004</v>
          </cell>
          <cell r="E29">
            <v>6815.7486299999991</v>
          </cell>
          <cell r="F29">
            <v>79.885826720613821</v>
          </cell>
        </row>
        <row r="30">
          <cell r="D30">
            <v>344.07427999999999</v>
          </cell>
          <cell r="E30">
            <v>39.757289999999998</v>
          </cell>
          <cell r="F30">
            <v>-88.445143298708643</v>
          </cell>
        </row>
        <row r="33">
          <cell r="D33">
            <v>174188.96964000011</v>
          </cell>
          <cell r="E33">
            <v>180865.70135999992</v>
          </cell>
          <cell r="F33">
            <v>3.8330393329719659</v>
          </cell>
        </row>
        <row r="35">
          <cell r="D35">
            <v>4066.1670499998891</v>
          </cell>
          <cell r="E35">
            <v>10696.959830000054</v>
          </cell>
          <cell r="F35">
            <v>163.07231597876299</v>
          </cell>
        </row>
        <row r="37">
          <cell r="D37">
            <v>-5399.9684700001089</v>
          </cell>
          <cell r="E37">
            <v>11308.606920000049</v>
          </cell>
          <cell r="F37">
            <v>309.41986944601217</v>
          </cell>
        </row>
        <row r="38">
          <cell r="D38">
            <v>9466.135519999998</v>
          </cell>
          <cell r="E38">
            <v>-611.64708999999493</v>
          </cell>
          <cell r="F38">
            <v>-106.46142334121154</v>
          </cell>
        </row>
        <row r="39">
          <cell r="D39">
            <v>20621.906159999889</v>
          </cell>
          <cell r="E39">
            <v>29258.620130000054</v>
          </cell>
          <cell r="F39">
            <v>41.881259195877419</v>
          </cell>
        </row>
        <row r="40">
          <cell r="D40">
            <v>671.13022000000001</v>
          </cell>
          <cell r="E40">
            <v>25.404040000000002</v>
          </cell>
          <cell r="F40">
            <v>-96.214737581031599</v>
          </cell>
        </row>
        <row r="54">
          <cell r="D54">
            <v>2023</v>
          </cell>
          <cell r="E54">
            <v>2023</v>
          </cell>
          <cell r="F54" t="str">
            <v>VH (%)</v>
          </cell>
        </row>
        <row r="56">
          <cell r="D56">
            <v>77797.227230000048</v>
          </cell>
          <cell r="E56">
            <v>86468.543279999969</v>
          </cell>
          <cell r="F56">
            <v>11.146047691859252</v>
          </cell>
        </row>
        <row r="57">
          <cell r="D57">
            <v>75084.23751000005</v>
          </cell>
          <cell r="E57">
            <v>82950.865419999973</v>
          </cell>
          <cell r="F57">
            <v>10.477069716466403</v>
          </cell>
        </row>
        <row r="58">
          <cell r="D58">
            <v>26512.301370000001</v>
          </cell>
          <cell r="E58">
            <v>27005.471799999999</v>
          </cell>
          <cell r="F58">
            <v>1.8601570007726442</v>
          </cell>
        </row>
        <row r="59">
          <cell r="D59">
            <v>48571.936140000049</v>
          </cell>
          <cell r="E59">
            <v>55945.393619999973</v>
          </cell>
          <cell r="F59">
            <v>15.180489117722695</v>
          </cell>
        </row>
        <row r="60">
          <cell r="D60">
            <v>2712.9897200000037</v>
          </cell>
          <cell r="E60">
            <v>3517.6778600000066</v>
          </cell>
          <cell r="F60">
            <v>29.660567235765335</v>
          </cell>
        </row>
        <row r="61">
          <cell r="D61">
            <v>3031.7518099999993</v>
          </cell>
          <cell r="E61">
            <v>1581.4897499999984</v>
          </cell>
          <cell r="F61">
            <v>-47.83577782377909</v>
          </cell>
        </row>
        <row r="63">
          <cell r="D63">
            <v>80828.979040000049</v>
          </cell>
          <cell r="E63">
            <v>88050.033029999962</v>
          </cell>
          <cell r="F63">
            <v>8.9337439069054891</v>
          </cell>
        </row>
        <row r="65">
          <cell r="D65">
            <v>111091.90296000015</v>
          </cell>
          <cell r="E65">
            <v>105517.17969999996</v>
          </cell>
          <cell r="F65">
            <v>-5.0181184329945561</v>
          </cell>
        </row>
        <row r="66">
          <cell r="D66">
            <v>29433.456080000069</v>
          </cell>
          <cell r="E66">
            <v>31325.358900000014</v>
          </cell>
          <cell r="F66">
            <v>6.4277290945981891</v>
          </cell>
        </row>
        <row r="67">
          <cell r="D67">
            <v>32568.171610000019</v>
          </cell>
          <cell r="E67">
            <v>31506.936400000006</v>
          </cell>
          <cell r="F67">
            <v>-3.2585041085762434</v>
          </cell>
        </row>
        <row r="68">
          <cell r="D68">
            <v>474.0804699999988</v>
          </cell>
          <cell r="E68">
            <v>435.93522000000252</v>
          </cell>
          <cell r="F68">
            <v>-8.0461551179267907</v>
          </cell>
        </row>
        <row r="69">
          <cell r="D69">
            <v>46893.851570000072</v>
          </cell>
          <cell r="E69">
            <v>39517.082269999941</v>
          </cell>
          <cell r="F69">
            <v>-15.730781441546926</v>
          </cell>
        </row>
        <row r="70">
          <cell r="D70">
            <v>1626.4260699999998</v>
          </cell>
          <cell r="E70">
            <v>2653.4819800000005</v>
          </cell>
          <cell r="F70">
            <v>63.148023076142714</v>
          </cell>
        </row>
        <row r="71">
          <cell r="D71">
            <v>95.917159999999981</v>
          </cell>
          <cell r="E71">
            <v>78.384929999999997</v>
          </cell>
          <cell r="F71">
            <v>-18.278512416339254</v>
          </cell>
        </row>
        <row r="72">
          <cell r="D72">
            <v>4979.9264700000003</v>
          </cell>
          <cell r="E72">
            <v>13228.117649999997</v>
          </cell>
          <cell r="F72">
            <v>165.62877443449474</v>
          </cell>
        </row>
        <row r="73">
          <cell r="D73">
            <v>1188.7165100000002</v>
          </cell>
          <cell r="E73">
            <v>6779.0153999999975</v>
          </cell>
          <cell r="F73">
            <v>470.28024284780872</v>
          </cell>
        </row>
        <row r="74">
          <cell r="D74">
            <v>3791.2099599999997</v>
          </cell>
          <cell r="E74">
            <v>6449.1022499999999</v>
          </cell>
          <cell r="F74">
            <v>70.106702557829337</v>
          </cell>
        </row>
        <row r="81">
          <cell r="D81">
            <v>-35242.850390000109</v>
          </cell>
          <cell r="E81">
            <v>-30695.264320000002</v>
          </cell>
          <cell r="F81">
            <v>12.903570567295686</v>
          </cell>
        </row>
        <row r="83">
          <cell r="D83">
            <v>-33294.675730000105</v>
          </cell>
          <cell r="E83">
            <v>-19048.636419999995</v>
          </cell>
          <cell r="F83">
            <v>42.787740074500093</v>
          </cell>
        </row>
        <row r="84">
          <cell r="D84">
            <v>-1948.174660000001</v>
          </cell>
          <cell r="E84">
            <v>-11646.627899999998</v>
          </cell>
          <cell r="F84">
            <v>-497.82257408070336</v>
          </cell>
        </row>
        <row r="85">
          <cell r="D85">
            <v>-34768.769920000108</v>
          </cell>
          <cell r="E85">
            <v>-30259.329099999999</v>
          </cell>
          <cell r="F85">
            <v>12.96980258541196</v>
          </cell>
        </row>
      </sheetData>
      <sheetData sheetId="23">
        <row r="167">
          <cell r="E167">
            <v>112968.93792999999</v>
          </cell>
          <cell r="F167">
            <v>126963.93351999996</v>
          </cell>
          <cell r="G167">
            <v>0.12388357230260794</v>
          </cell>
          <cell r="H167">
            <v>0.12019442997586124</v>
          </cell>
        </row>
        <row r="169">
          <cell r="E169">
            <v>26512.301369999997</v>
          </cell>
          <cell r="F169">
            <v>27005.471799999999</v>
          </cell>
          <cell r="G169">
            <v>1.8601570007726664E-2</v>
          </cell>
          <cell r="H169">
            <v>7.1250212160586954E-2</v>
          </cell>
        </row>
        <row r="170">
          <cell r="E170">
            <v>24193.280489999997</v>
          </cell>
          <cell r="F170">
            <v>24908.746929999998</v>
          </cell>
          <cell r="G170">
            <v>2.9572940316867413E-2</v>
          </cell>
          <cell r="H170">
            <v>0.10367760953906299</v>
          </cell>
        </row>
        <row r="171">
          <cell r="E171">
            <v>2319.02088</v>
          </cell>
          <cell r="F171">
            <v>2096.72487</v>
          </cell>
          <cell r="G171">
            <v>-9.5857700944891877E-2</v>
          </cell>
          <cell r="H171">
            <v>1.5109233337755001E-2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E173">
            <v>86456.636559999984</v>
          </cell>
          <cell r="F173">
            <v>99958.461719999963</v>
          </cell>
          <cell r="G173">
            <v>0.15616875346093129</v>
          </cell>
          <cell r="H173">
            <v>0.147584115994703</v>
          </cell>
        </row>
        <row r="174">
          <cell r="E174">
            <v>4942.2951800000001</v>
          </cell>
          <cell r="F174">
            <v>2853.0806699999998</v>
          </cell>
          <cell r="G174">
            <v>-0.42272151579582506</v>
          </cell>
          <cell r="H174">
            <v>5.5395322110904005E-2</v>
          </cell>
        </row>
        <row r="175">
          <cell r="E175">
            <v>72651.662980000008</v>
          </cell>
          <cell r="F175">
            <v>85489.678929999995</v>
          </cell>
          <cell r="G175">
            <v>0.17670642932886627</v>
          </cell>
          <cell r="H175">
            <v>0.16708784649256472</v>
          </cell>
        </row>
        <row r="176">
          <cell r="E176">
            <v>488.61887999999999</v>
          </cell>
          <cell r="F176">
            <v>620.56613000000004</v>
          </cell>
          <cell r="G176">
            <v>0.2700412435966455</v>
          </cell>
          <cell r="H176">
            <v>0.1212279996092987</v>
          </cell>
        </row>
        <row r="177">
          <cell r="E177">
            <v>835.12507999999991</v>
          </cell>
          <cell r="F177">
            <v>2738.2063499999999</v>
          </cell>
          <cell r="G177">
            <v>2.2787978897723922</v>
          </cell>
          <cell r="H177">
            <v>7.3018836000000004E-2</v>
          </cell>
        </row>
        <row r="178">
          <cell r="E178">
            <v>1119.1654099999998</v>
          </cell>
          <cell r="F178">
            <v>1015.74978</v>
          </cell>
          <cell r="G178">
            <v>-9.2404240763659606E-2</v>
          </cell>
          <cell r="H178">
            <v>0</v>
          </cell>
        </row>
        <row r="179">
          <cell r="E179">
            <v>6419.7690299999995</v>
          </cell>
          <cell r="F179">
            <v>7241.1798599999993</v>
          </cell>
          <cell r="G179">
            <v>0.12795021536779494</v>
          </cell>
          <cell r="H179">
            <v>0.11970844864415241</v>
          </cell>
        </row>
        <row r="180">
          <cell r="E180">
            <v>2917.1248700000001</v>
          </cell>
          <cell r="F180">
            <v>3202.3873199999998</v>
          </cell>
          <cell r="G180">
            <v>9.7788906101917927E-2</v>
          </cell>
          <cell r="H180">
            <v>9.3942297188091509E-2</v>
          </cell>
        </row>
        <row r="181">
          <cell r="E181">
            <v>462.40408999999988</v>
          </cell>
          <cell r="F181">
            <v>648.44985999999994</v>
          </cell>
          <cell r="G181">
            <v>0.40234455971183158</v>
          </cell>
          <cell r="H181">
            <v>8.4817285385865415E-2</v>
          </cell>
        </row>
        <row r="183">
          <cell r="E183">
            <v>65286.198759999999</v>
          </cell>
          <cell r="F183">
            <v>64598.727670000007</v>
          </cell>
          <cell r="G183">
            <v>-1.0530113608348102E-2</v>
          </cell>
          <cell r="H183">
            <v>0.12377050984562164</v>
          </cell>
        </row>
        <row r="185">
          <cell r="E185">
            <v>178255.13668999998</v>
          </cell>
          <cell r="F185">
            <v>191562.66118999996</v>
          </cell>
          <cell r="G185">
            <v>7.4654367594145787E-2</v>
          </cell>
          <cell r="H185">
            <v>0.12137703482752844</v>
          </cell>
        </row>
        <row r="199">
          <cell r="E199">
            <v>112968.93792999999</v>
          </cell>
          <cell r="F199">
            <v>126963.93351999996</v>
          </cell>
          <cell r="G199">
            <v>0.12388357230260794</v>
          </cell>
          <cell r="H199">
            <v>0.12019442997586124</v>
          </cell>
        </row>
        <row r="201">
          <cell r="E201">
            <v>65286.198759999999</v>
          </cell>
          <cell r="F201">
            <v>64598.727670000007</v>
          </cell>
          <cell r="G201">
            <v>-1.0530113608348102E-2</v>
          </cell>
          <cell r="H201">
            <v>0.12377050984562164</v>
          </cell>
        </row>
        <row r="202">
          <cell r="E202">
            <v>50494.68288</v>
          </cell>
          <cell r="F202">
            <v>50231.719610000007</v>
          </cell>
          <cell r="G202">
            <v>-5.2077417859008879E-3</v>
          </cell>
          <cell r="H202">
            <v>0.18595186736834252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E204">
            <v>2234.4643299999998</v>
          </cell>
          <cell r="F204">
            <v>2813.0192800000004</v>
          </cell>
          <cell r="G204">
            <v>0.25892333219747599</v>
          </cell>
          <cell r="H204">
            <v>0.11678171558761599</v>
          </cell>
        </row>
        <row r="205">
          <cell r="E205">
            <v>83.804799999999986</v>
          </cell>
          <cell r="F205">
            <v>242.88646</v>
          </cell>
          <cell r="G205">
            <v>1.8982404349154232</v>
          </cell>
          <cell r="H205">
            <v>2.8043528661414342E-2</v>
          </cell>
        </row>
        <row r="206">
          <cell r="E206">
            <v>46519.583599999998</v>
          </cell>
          <cell r="F206">
            <v>45403.528540000007</v>
          </cell>
          <cell r="G206">
            <v>-2.3991080178112134E-2</v>
          </cell>
          <cell r="H206">
            <v>0.23308625427305923</v>
          </cell>
        </row>
        <row r="207">
          <cell r="E207">
            <v>1433.2080100000003</v>
          </cell>
          <cell r="F207">
            <v>1678.5056000000002</v>
          </cell>
          <cell r="G207">
            <v>0.17115281821513117</v>
          </cell>
          <cell r="H207">
            <v>0.17197676410583859</v>
          </cell>
        </row>
        <row r="208">
          <cell r="E208">
            <v>223.62214</v>
          </cell>
          <cell r="F208">
            <v>93.779730000000015</v>
          </cell>
          <cell r="G208">
            <v>-0.58063307148388787</v>
          </cell>
          <cell r="H208">
            <v>2.8564271165811236E-3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1">
          <cell r="E211">
            <v>14791.515879999999</v>
          </cell>
          <cell r="F211">
            <v>14367.00806</v>
          </cell>
          <cell r="G211">
            <v>-2.8699412787974388E-2</v>
          </cell>
          <cell r="H211">
            <v>5.7059371650811964E-2</v>
          </cell>
        </row>
        <row r="212">
          <cell r="E212">
            <v>1218.6859399999998</v>
          </cell>
          <cell r="F212">
            <v>131.72499999999999</v>
          </cell>
          <cell r="G212">
            <v>-0.89191226740500507</v>
          </cell>
          <cell r="H212">
            <v>4.8522991093834754E-3</v>
          </cell>
        </row>
        <row r="213">
          <cell r="E213">
            <v>12489.00822</v>
          </cell>
          <cell r="F213">
            <v>12732.56179</v>
          </cell>
          <cell r="G213">
            <v>1.950143403781035E-2</v>
          </cell>
          <cell r="H213">
            <v>5.9018492947696295E-2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6">
          <cell r="E216">
            <v>1083.8217200000001</v>
          </cell>
          <cell r="F216">
            <v>1502.72127</v>
          </cell>
          <cell r="G216">
            <v>0.38650226533566778</v>
          </cell>
          <cell r="H216">
            <v>0.16878819162080197</v>
          </cell>
        </row>
        <row r="218">
          <cell r="E218">
            <v>178255.13668999998</v>
          </cell>
          <cell r="F218">
            <v>191562.66118999996</v>
          </cell>
          <cell r="G218">
            <v>7.4654367594145787E-2</v>
          </cell>
          <cell r="H218">
            <v>0.12137703482752844</v>
          </cell>
        </row>
      </sheetData>
      <sheetData sheetId="24">
        <row r="8">
          <cell r="F8">
            <v>168863.5892800001</v>
          </cell>
          <cell r="H8">
            <v>165887.04620999991</v>
          </cell>
          <cell r="I8">
            <v>13.427923039142708</v>
          </cell>
          <cell r="J8">
            <v>11.856250919936267</v>
          </cell>
          <cell r="L8">
            <v>-1.7626908694121459</v>
          </cell>
        </row>
        <row r="9">
          <cell r="F9">
            <v>53592.491170000067</v>
          </cell>
          <cell r="H9">
            <v>57055.606709999927</v>
          </cell>
          <cell r="I9">
            <v>12.714637232769519</v>
          </cell>
          <cell r="J9">
            <v>12.945539900973138</v>
          </cell>
          <cell r="L9">
            <v>6.4619417093610281</v>
          </cell>
        </row>
        <row r="10">
          <cell r="F10">
            <v>47289.387150000024</v>
          </cell>
          <cell r="H10">
            <v>50378.353799999924</v>
          </cell>
          <cell r="I10">
            <v>13.958645611281787</v>
          </cell>
          <cell r="J10">
            <v>14.299691573844834</v>
          </cell>
          <cell r="L10">
            <v>6.5320505004681557</v>
          </cell>
        </row>
        <row r="11">
          <cell r="F11">
            <v>489.81167000000016</v>
          </cell>
          <cell r="H11">
            <v>525.25616000000002</v>
          </cell>
          <cell r="I11">
            <v>8.1816324222784349</v>
          </cell>
          <cell r="J11">
            <v>8.2796807903254752</v>
          </cell>
          <cell r="L11">
            <v>7.2363506569779874</v>
          </cell>
        </row>
        <row r="12">
          <cell r="F12">
            <v>5813.2923499999988</v>
          </cell>
          <cell r="H12">
            <v>6151.9967500000039</v>
          </cell>
          <cell r="I12">
            <v>7.5759471357107593</v>
          </cell>
          <cell r="J12">
            <v>7.4943985067135124</v>
          </cell>
          <cell r="L12">
            <v>5.8263782312617591</v>
          </cell>
        </row>
        <row r="13">
          <cell r="F13">
            <v>34660.988580000019</v>
          </cell>
          <cell r="H13">
            <v>33850.430970000009</v>
          </cell>
          <cell r="I13">
            <v>18.337552417861399</v>
          </cell>
          <cell r="J13">
            <v>17.0778352312789</v>
          </cell>
          <cell r="L13">
            <v>-2.3385299819974446</v>
          </cell>
        </row>
        <row r="14">
          <cell r="F14">
            <v>16555.739110000002</v>
          </cell>
          <cell r="H14">
            <v>18561.6603</v>
          </cell>
          <cell r="I14">
            <v>16.38800428082482</v>
          </cell>
          <cell r="J14">
            <v>12.211922952395682</v>
          </cell>
          <cell r="L14">
            <v>12.116168155780978</v>
          </cell>
        </row>
        <row r="15">
          <cell r="F15">
            <v>62314.13731000002</v>
          </cell>
          <cell r="H15">
            <v>51875.782300000006</v>
          </cell>
          <cell r="I15">
            <v>12.051906921119643</v>
          </cell>
          <cell r="J15">
            <v>9.0011324251531573</v>
          </cell>
          <cell r="L15">
            <v>-16.751182734138393</v>
          </cell>
        </row>
        <row r="16">
          <cell r="F16">
            <v>53985.74159000002</v>
          </cell>
          <cell r="H16">
            <v>44489.738900000004</v>
          </cell>
          <cell r="I16">
            <v>13.25834648599642</v>
          </cell>
          <cell r="J16">
            <v>9.7762487006126797</v>
          </cell>
          <cell r="L16">
            <v>-17.589834668046862</v>
          </cell>
        </row>
        <row r="17">
          <cell r="F17">
            <v>32.759</v>
          </cell>
          <cell r="H17">
            <v>0</v>
          </cell>
          <cell r="I17">
            <v>18.770161636881401</v>
          </cell>
          <cell r="J17">
            <v>0</v>
          </cell>
          <cell r="L17">
            <v>-100</v>
          </cell>
        </row>
        <row r="18">
          <cell r="F18">
            <v>53952.982590000021</v>
          </cell>
          <cell r="H18">
            <v>44489.738900000004</v>
          </cell>
          <cell r="I18">
            <v>13.25598299611101</v>
          </cell>
          <cell r="J18">
            <v>9.7818873667258401</v>
          </cell>
          <cell r="L18">
            <v>-17.539797126533639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 t="str">
            <v>-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 t="str">
            <v>-</v>
          </cell>
        </row>
        <row r="21">
          <cell r="F21">
            <v>8328.3957200000023</v>
          </cell>
          <cell r="H21">
            <v>7386.0433999999987</v>
          </cell>
          <cell r="I21">
            <v>7.5805804078504391</v>
          </cell>
          <cell r="J21">
            <v>6.0918230951896195</v>
          </cell>
          <cell r="L21">
            <v>-11.314932091147121</v>
          </cell>
        </row>
        <row r="27">
          <cell r="F27">
            <v>1626.4260699999998</v>
          </cell>
          <cell r="H27">
            <v>4447.4019800000005</v>
          </cell>
          <cell r="I27">
            <v>7.3684919021961628</v>
          </cell>
          <cell r="J27">
            <v>18.052375408059653</v>
          </cell>
          <cell r="L27">
            <v>173.44630426392521</v>
          </cell>
        </row>
        <row r="28">
          <cell r="F28">
            <v>113.80703999999997</v>
          </cell>
          <cell r="H28">
            <v>96.16395</v>
          </cell>
          <cell r="I28">
            <v>1.651150343898252</v>
          </cell>
          <cell r="J28">
            <v>1.3269557166039276</v>
          </cell>
          <cell r="L28">
            <v>-15.50263498637692</v>
          </cell>
        </row>
        <row r="30">
          <cell r="F30">
            <v>152307.85017000011</v>
          </cell>
          <cell r="H30">
            <v>147325.38590999992</v>
          </cell>
          <cell r="I30">
            <v>13.16935878900688</v>
          </cell>
          <cell r="J30">
            <v>11.81290366934447</v>
          </cell>
          <cell r="L30">
            <v>-3.271311527566668</v>
          </cell>
        </row>
        <row r="32">
          <cell r="F32">
            <v>5325.380360000001</v>
          </cell>
          <cell r="H32">
            <v>14978.655149999995</v>
          </cell>
          <cell r="I32">
            <v>1.6619839496461761</v>
          </cell>
          <cell r="J32">
            <v>4.8630200449087289</v>
          </cell>
          <cell r="L32">
            <v>181.26920778293461</v>
          </cell>
        </row>
        <row r="33">
          <cell r="F33">
            <v>1192.3757600000004</v>
          </cell>
          <cell r="H33">
            <v>8123.1492299999973</v>
          </cell>
          <cell r="I33">
            <v>0.6765782784440294</v>
          </cell>
          <cell r="J33">
            <v>3.8951464959118485</v>
          </cell>
          <cell r="L33">
            <v>581.25749470116648</v>
          </cell>
        </row>
        <row r="34">
          <cell r="F34">
            <v>4133.0046000000002</v>
          </cell>
          <cell r="H34">
            <v>6855.5059199999987</v>
          </cell>
          <cell r="I34">
            <v>2.9067406734818517</v>
          </cell>
          <cell r="J34">
            <v>7.0337430797641458</v>
          </cell>
          <cell r="L34">
            <v>65.872206384672268</v>
          </cell>
        </row>
        <row r="35">
          <cell r="F35">
            <v>3788.9303200000004</v>
          </cell>
          <cell r="H35">
            <v>6815.7486299999991</v>
          </cell>
          <cell r="I35">
            <v>2.8685843138276543</v>
          </cell>
          <cell r="J35">
            <v>7.6664265083491197</v>
          </cell>
          <cell r="L35">
            <v>79.885826720613821</v>
          </cell>
        </row>
        <row r="36">
          <cell r="F36">
            <v>1351.0761599999998</v>
          </cell>
          <cell r="H36">
            <v>1020.09887</v>
          </cell>
          <cell r="I36">
            <v>21.31978874558499</v>
          </cell>
          <cell r="J36">
            <v>18.483484161461138</v>
          </cell>
          <cell r="L36">
            <v>-24.497308131023484</v>
          </cell>
        </row>
        <row r="37">
          <cell r="F37">
            <v>2437.8541600000003</v>
          </cell>
          <cell r="H37">
            <v>5716.4013299999997</v>
          </cell>
          <cell r="I37">
            <v>2.0027365524317524</v>
          </cell>
          <cell r="J37">
            <v>7.3490676203670837</v>
          </cell>
          <cell r="L37">
            <v>134.48495910026048</v>
          </cell>
        </row>
        <row r="38">
          <cell r="F38">
            <v>0</v>
          </cell>
          <cell r="H38">
            <v>79.248429999999999</v>
          </cell>
          <cell r="I38">
            <v>0</v>
          </cell>
          <cell r="J38">
            <v>1.4149372844521291</v>
          </cell>
          <cell r="L38" t="str">
            <v>-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8">
          <cell r="F48">
            <v>174188.96964000011</v>
          </cell>
          <cell r="H48">
            <v>180865.70135999992</v>
          </cell>
          <cell r="I48">
            <v>11.038740751612698</v>
          </cell>
          <cell r="J48">
            <v>10.594512338497301</v>
          </cell>
          <cell r="L48">
            <v>3.8330393329719694</v>
          </cell>
        </row>
        <row r="51">
          <cell r="F51">
            <v>671.13022000000001</v>
          </cell>
          <cell r="H51">
            <v>25.404040000000002</v>
          </cell>
          <cell r="I51">
            <v>1.2969570305655489</v>
          </cell>
          <cell r="J51">
            <v>2.5831498605666626E-2</v>
          </cell>
          <cell r="L51">
            <v>-96.214737581031599</v>
          </cell>
        </row>
        <row r="52">
          <cell r="F52">
            <v>45439.704549999995</v>
          </cell>
          <cell r="H52">
            <v>44649.332170000001</v>
          </cell>
          <cell r="I52">
            <v>9.0607100513473018</v>
          </cell>
          <cell r="J52">
            <v>16.958688253000524</v>
          </cell>
          <cell r="L52">
            <v>-1.7393871457291277</v>
          </cell>
        </row>
      </sheetData>
      <sheetData sheetId="25">
        <row r="8">
          <cell r="D8">
            <v>27205.202059999989</v>
          </cell>
          <cell r="E8">
            <v>30872.753330000003</v>
          </cell>
          <cell r="F8">
            <v>17.069434999480663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1295.5858499999999</v>
          </cell>
          <cell r="E10">
            <v>1231.6411699999999</v>
          </cell>
          <cell r="F10">
            <v>0.68097000190683377</v>
          </cell>
        </row>
        <row r="11">
          <cell r="D11">
            <v>38097.231870000011</v>
          </cell>
          <cell r="E11">
            <v>45504.073169999996</v>
          </cell>
          <cell r="F11">
            <v>25.159039457363708</v>
          </cell>
        </row>
        <row r="12">
          <cell r="D12">
            <v>2288.1076900000007</v>
          </cell>
          <cell r="E12">
            <v>2377.7273200000004</v>
          </cell>
          <cell r="F12">
            <v>1.3146369389668349</v>
          </cell>
        </row>
        <row r="13">
          <cell r="D13">
            <v>2702.3105600000017</v>
          </cell>
          <cell r="E13">
            <v>11040.861890000002</v>
          </cell>
          <cell r="F13">
            <v>6.1044530870029217</v>
          </cell>
        </row>
        <row r="14">
          <cell r="D14">
            <v>42612.335010000003</v>
          </cell>
          <cell r="E14">
            <v>34802.888180000009</v>
          </cell>
          <cell r="F14">
            <v>19.242392514613595</v>
          </cell>
        </row>
        <row r="15">
          <cell r="D15">
            <v>2822.3592200000012</v>
          </cell>
          <cell r="E15">
            <v>2457.8543500000001</v>
          </cell>
          <cell r="F15">
            <v>1.3589388875383401</v>
          </cell>
        </row>
        <row r="16">
          <cell r="D16">
            <v>50880.496389999949</v>
          </cell>
          <cell r="E16">
            <v>51311.019229999933</v>
          </cell>
          <cell r="F16">
            <v>28.369679184152837</v>
          </cell>
        </row>
        <row r="17">
          <cell r="D17">
            <v>1519.37978</v>
          </cell>
          <cell r="E17">
            <v>1266.8827200000003</v>
          </cell>
          <cell r="F17">
            <v>0.70045492897426853</v>
          </cell>
        </row>
        <row r="19">
          <cell r="D19">
            <v>169423.00842999993</v>
          </cell>
          <cell r="E19">
            <v>180865.70135999995</v>
          </cell>
          <cell r="F19">
            <v>100</v>
          </cell>
        </row>
        <row r="22">
          <cell r="D22">
            <v>671.13022000000001</v>
          </cell>
          <cell r="E22">
            <v>25.404040000000002</v>
          </cell>
          <cell r="F22">
            <v>1.4045802940511712E-2</v>
          </cell>
        </row>
        <row r="23">
          <cell r="D23">
            <v>45439.704549999995</v>
          </cell>
          <cell r="E23">
            <v>44649.332170000001</v>
          </cell>
          <cell r="F23">
            <v>24.68645621268389</v>
          </cell>
        </row>
      </sheetData>
      <sheetData sheetId="26">
        <row r="9">
          <cell r="D9">
            <v>1920</v>
          </cell>
          <cell r="E9">
            <v>296.13213999999999</v>
          </cell>
          <cell r="F9">
            <v>53452.612199999981</v>
          </cell>
          <cell r="G9">
            <v>4460.7716099999998</v>
          </cell>
          <cell r="H9">
            <v>27735.890849999996</v>
          </cell>
          <cell r="I9">
            <v>34858.208120000003</v>
          </cell>
          <cell r="J9">
            <v>2353.3555500000002</v>
          </cell>
          <cell r="K9">
            <v>1903.9941299999998</v>
          </cell>
          <cell r="L9">
            <v>3935.1075900000001</v>
          </cell>
          <cell r="M9">
            <v>967.30416000000037</v>
          </cell>
          <cell r="N9">
            <v>3058.8410000000008</v>
          </cell>
          <cell r="O9">
            <v>30944.828860000005</v>
          </cell>
          <cell r="P9">
            <v>165887.04620999994</v>
          </cell>
        </row>
        <row r="10">
          <cell r="D10">
            <v>0</v>
          </cell>
          <cell r="E10">
            <v>225.81536</v>
          </cell>
          <cell r="F10">
            <v>43044.85346999998</v>
          </cell>
          <cell r="G10">
            <v>917.68371999999999</v>
          </cell>
          <cell r="H10">
            <v>3822.4140699999998</v>
          </cell>
          <cell r="I10">
            <v>699.32627999999988</v>
          </cell>
          <cell r="J10">
            <v>1631.04754</v>
          </cell>
          <cell r="K10">
            <v>734.47369999999978</v>
          </cell>
          <cell r="L10">
            <v>764.54849000000024</v>
          </cell>
          <cell r="M10">
            <v>782.23634000000038</v>
          </cell>
          <cell r="N10">
            <v>2346.4321300000006</v>
          </cell>
          <cell r="O10">
            <v>2086.7756100000001</v>
          </cell>
          <cell r="P10">
            <v>57055.606709999985</v>
          </cell>
        </row>
        <row r="11">
          <cell r="D11">
            <v>0</v>
          </cell>
          <cell r="E11">
            <v>187.90776000000002</v>
          </cell>
          <cell r="F11">
            <v>38097.820149999978</v>
          </cell>
          <cell r="G11">
            <v>816.89004999999997</v>
          </cell>
          <cell r="H11">
            <v>3276.3928899999996</v>
          </cell>
          <cell r="I11">
            <v>615.89658999999995</v>
          </cell>
          <cell r="J11">
            <v>1454.1745800000001</v>
          </cell>
          <cell r="K11">
            <v>631.59302999999977</v>
          </cell>
          <cell r="L11">
            <v>687.18057000000022</v>
          </cell>
          <cell r="M11">
            <v>680.77387000000033</v>
          </cell>
          <cell r="N11">
            <v>2077.2581000000005</v>
          </cell>
          <cell r="O11">
            <v>1852.46621</v>
          </cell>
          <cell r="P11">
            <v>50378.353799999968</v>
          </cell>
        </row>
        <row r="12">
          <cell r="D12">
            <v>0</v>
          </cell>
          <cell r="E12">
            <v>3.47811</v>
          </cell>
          <cell r="F12">
            <v>309.92284999999998</v>
          </cell>
          <cell r="G12">
            <v>3.3715399999999995</v>
          </cell>
          <cell r="H12">
            <v>132.70570000000001</v>
          </cell>
          <cell r="I12">
            <v>2.2249300000000001</v>
          </cell>
          <cell r="J12">
            <v>0</v>
          </cell>
          <cell r="K12">
            <v>27.69622</v>
          </cell>
          <cell r="L12">
            <v>0.30086999999999997</v>
          </cell>
          <cell r="M12">
            <v>21.017090000000003</v>
          </cell>
          <cell r="N12">
            <v>7.7937599999999998</v>
          </cell>
          <cell r="O12">
            <v>16.745090000000001</v>
          </cell>
          <cell r="P12">
            <v>525.25615999999991</v>
          </cell>
        </row>
        <row r="13">
          <cell r="D13">
            <v>0</v>
          </cell>
          <cell r="E13">
            <v>34.429490000000001</v>
          </cell>
          <cell r="F13">
            <v>4637.1104699999996</v>
          </cell>
          <cell r="G13">
            <v>97.42213000000001</v>
          </cell>
          <cell r="H13">
            <v>413.31547999999998</v>
          </cell>
          <cell r="I13">
            <v>81.204760000000007</v>
          </cell>
          <cell r="J13">
            <v>176.87296000000001</v>
          </cell>
          <cell r="K13">
            <v>75.184449999999984</v>
          </cell>
          <cell r="L13">
            <v>77.067049999999981</v>
          </cell>
          <cell r="M13">
            <v>80.445380000000014</v>
          </cell>
          <cell r="N13">
            <v>261.38027000000005</v>
          </cell>
          <cell r="O13">
            <v>217.56431000000001</v>
          </cell>
          <cell r="P13">
            <v>6151.9967499999984</v>
          </cell>
        </row>
        <row r="14">
          <cell r="D14">
            <v>0</v>
          </cell>
          <cell r="E14">
            <v>70.316779999999994</v>
          </cell>
          <cell r="F14">
            <v>1016.6908200000007</v>
          </cell>
          <cell r="G14">
            <v>40.439949999999996</v>
          </cell>
          <cell r="H14">
            <v>4560.1231899999984</v>
          </cell>
          <cell r="I14">
            <v>113.06631</v>
          </cell>
          <cell r="J14">
            <v>557.3408800000002</v>
          </cell>
          <cell r="K14">
            <v>12.710729999999998</v>
          </cell>
          <cell r="L14">
            <v>44.326870000000007</v>
          </cell>
          <cell r="M14">
            <v>168.56710000000001</v>
          </cell>
          <cell r="N14">
            <v>158.44184000000001</v>
          </cell>
          <cell r="O14">
            <v>27108.406500000005</v>
          </cell>
          <cell r="P14">
            <v>33850.430970000001</v>
          </cell>
        </row>
        <row r="15">
          <cell r="D15">
            <v>0</v>
          </cell>
          <cell r="E15">
            <v>16.261579999999999</v>
          </cell>
          <cell r="F15">
            <v>389.25321000000002</v>
          </cell>
          <cell r="G15">
            <v>4.1372799999999996</v>
          </cell>
          <cell r="H15">
            <v>13.894450000000001</v>
          </cell>
          <cell r="I15">
            <v>3.3141100000000003</v>
          </cell>
          <cell r="J15">
            <v>56.582400000000007</v>
          </cell>
          <cell r="K15">
            <v>0.72062999999999999</v>
          </cell>
          <cell r="L15">
            <v>8.5505200000000006</v>
          </cell>
          <cell r="M15">
            <v>4.5694299999999997</v>
          </cell>
          <cell r="N15">
            <v>29.33813</v>
          </cell>
          <cell r="O15">
            <v>374.46969000000007</v>
          </cell>
          <cell r="P15">
            <v>901.09143000000017</v>
          </cell>
        </row>
        <row r="16">
          <cell r="D16">
            <v>0</v>
          </cell>
          <cell r="E16">
            <v>54.055199999999999</v>
          </cell>
          <cell r="F16">
            <v>627.43761000000063</v>
          </cell>
          <cell r="G16">
            <v>36.302669999999999</v>
          </cell>
          <cell r="H16">
            <v>4546.2287399999987</v>
          </cell>
          <cell r="I16">
            <v>109.7522</v>
          </cell>
          <cell r="J16">
            <v>500.75848000000019</v>
          </cell>
          <cell r="K16">
            <v>11.990099999999998</v>
          </cell>
          <cell r="L16">
            <v>35.776350000000008</v>
          </cell>
          <cell r="M16">
            <v>163.99767</v>
          </cell>
          <cell r="N16">
            <v>129.10371000000001</v>
          </cell>
          <cell r="O16">
            <v>26733.936810000003</v>
          </cell>
          <cell r="P16">
            <v>32949.339540000001</v>
          </cell>
        </row>
        <row r="17">
          <cell r="D17">
            <v>0</v>
          </cell>
          <cell r="E17">
            <v>0</v>
          </cell>
          <cell r="F17">
            <v>5.6803200000000009</v>
          </cell>
          <cell r="G17">
            <v>0</v>
          </cell>
          <cell r="H17">
            <v>18555.975589999998</v>
          </cell>
          <cell r="I17">
            <v>4.3899999999999998E-3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18561.660299999996</v>
          </cell>
        </row>
        <row r="18">
          <cell r="D18">
            <v>1920</v>
          </cell>
          <cell r="E18">
            <v>0</v>
          </cell>
          <cell r="F18">
            <v>9379.8524500000021</v>
          </cell>
          <cell r="G18">
            <v>856.0057599999999</v>
          </cell>
          <cell r="H18">
            <v>739.86131</v>
          </cell>
          <cell r="I18">
            <v>34045.561140000005</v>
          </cell>
          <cell r="J18">
            <v>164.41388999999998</v>
          </cell>
          <cell r="K18">
            <v>1156.8097</v>
          </cell>
          <cell r="L18">
            <v>1328.5011100000002</v>
          </cell>
          <cell r="M18">
            <v>3.6054400000000002</v>
          </cell>
          <cell r="N18">
            <v>550.48539999999991</v>
          </cell>
          <cell r="O18">
            <v>1730.6861000000001</v>
          </cell>
          <cell r="P18">
            <v>51875.782299999999</v>
          </cell>
        </row>
        <row r="19">
          <cell r="D19">
            <v>1920</v>
          </cell>
          <cell r="E19">
            <v>0</v>
          </cell>
          <cell r="F19">
            <v>2622.8821500000004</v>
          </cell>
          <cell r="G19">
            <v>852.16790999999989</v>
          </cell>
          <cell r="H19">
            <v>707.82183999999995</v>
          </cell>
          <cell r="I19">
            <v>34039.855150000003</v>
          </cell>
          <cell r="J19">
            <v>0</v>
          </cell>
          <cell r="K19">
            <v>818.58493999999996</v>
          </cell>
          <cell r="L19">
            <v>1328.0663100000002</v>
          </cell>
          <cell r="M19">
            <v>0</v>
          </cell>
          <cell r="N19">
            <v>473.88659999999993</v>
          </cell>
          <cell r="O19">
            <v>1726.4740000000002</v>
          </cell>
          <cell r="P19">
            <v>44489.738900000004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D21">
            <v>1920</v>
          </cell>
          <cell r="E21">
            <v>0</v>
          </cell>
          <cell r="F21">
            <v>2622.8821500000004</v>
          </cell>
          <cell r="G21">
            <v>852.16790999999989</v>
          </cell>
          <cell r="H21">
            <v>707.82183999999995</v>
          </cell>
          <cell r="I21">
            <v>34039.855150000003</v>
          </cell>
          <cell r="J21">
            <v>0</v>
          </cell>
          <cell r="K21">
            <v>818.58493999999996</v>
          </cell>
          <cell r="L21">
            <v>1328.0663100000002</v>
          </cell>
          <cell r="M21">
            <v>0</v>
          </cell>
          <cell r="N21">
            <v>473.88659999999993</v>
          </cell>
          <cell r="O21">
            <v>1726.4740000000002</v>
          </cell>
          <cell r="P21">
            <v>44489.738900000004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D24">
            <v>0</v>
          </cell>
          <cell r="E24">
            <v>0</v>
          </cell>
          <cell r="F24">
            <v>6756.9703000000009</v>
          </cell>
          <cell r="G24">
            <v>3.83785</v>
          </cell>
          <cell r="H24">
            <v>32.039470000000001</v>
          </cell>
          <cell r="I24">
            <v>5.7059899999999999</v>
          </cell>
          <cell r="J24">
            <v>164.41388999999998</v>
          </cell>
          <cell r="K24">
            <v>338.22476000000006</v>
          </cell>
          <cell r="L24">
            <v>0.43480000000000002</v>
          </cell>
          <cell r="M24">
            <v>3.6054400000000002</v>
          </cell>
          <cell r="N24">
            <v>76.598799999999997</v>
          </cell>
          <cell r="O24">
            <v>4.2120999999999995</v>
          </cell>
          <cell r="P24">
            <v>7386.0434000000005</v>
          </cell>
        </row>
        <row r="25">
          <cell r="D25">
            <v>0</v>
          </cell>
          <cell r="E25">
            <v>0</v>
          </cell>
          <cell r="F25">
            <v>2182.3134700000005</v>
          </cell>
          <cell r="G25">
            <v>0</v>
          </cell>
          <cell r="H25">
            <v>0</v>
          </cell>
          <cell r="I25">
            <v>0</v>
          </cell>
          <cell r="J25">
            <v>5.25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2187.5634700000005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D27">
            <v>0</v>
          </cell>
          <cell r="E27">
            <v>0</v>
          </cell>
          <cell r="F27">
            <v>3591.1757100000004</v>
          </cell>
          <cell r="G27">
            <v>0</v>
          </cell>
          <cell r="H27">
            <v>0</v>
          </cell>
          <cell r="I27">
            <v>0</v>
          </cell>
          <cell r="J27">
            <v>101.71992999999999</v>
          </cell>
          <cell r="K27">
            <v>335.85516000000007</v>
          </cell>
          <cell r="L27">
            <v>0</v>
          </cell>
          <cell r="M27">
            <v>0</v>
          </cell>
          <cell r="N27">
            <v>67.5</v>
          </cell>
          <cell r="O27">
            <v>0</v>
          </cell>
          <cell r="P27">
            <v>4096.2508000000007</v>
          </cell>
        </row>
        <row r="28">
          <cell r="D28">
            <v>0</v>
          </cell>
          <cell r="E28">
            <v>0</v>
          </cell>
          <cell r="F28">
            <v>983.48112000000015</v>
          </cell>
          <cell r="G28">
            <v>3.83785</v>
          </cell>
          <cell r="H28">
            <v>17.854469999999999</v>
          </cell>
          <cell r="I28">
            <v>5.7059899999999999</v>
          </cell>
          <cell r="J28">
            <v>32.378959999999999</v>
          </cell>
          <cell r="K28">
            <v>2.3696000000000002</v>
          </cell>
          <cell r="L28">
            <v>0.43480000000000002</v>
          </cell>
          <cell r="M28">
            <v>3.6054400000000002</v>
          </cell>
          <cell r="N28">
            <v>9.0988000000000007</v>
          </cell>
          <cell r="O28">
            <v>4.2120999999999995</v>
          </cell>
          <cell r="P28">
            <v>1062.9791300000002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14.185</v>
          </cell>
          <cell r="I29">
            <v>0</v>
          </cell>
          <cell r="J29">
            <v>25.065000000000001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39.25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2645.1851799999995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1793.92</v>
          </cell>
          <cell r="M30">
            <v>8.2967999999999993</v>
          </cell>
          <cell r="N30">
            <v>0</v>
          </cell>
          <cell r="O30">
            <v>0</v>
          </cell>
          <cell r="P30">
            <v>4447.4019799999996</v>
          </cell>
        </row>
        <row r="31">
          <cell r="D31">
            <v>0</v>
          </cell>
          <cell r="E31">
            <v>0</v>
          </cell>
          <cell r="F31">
            <v>5.5351399999999993</v>
          </cell>
          <cell r="G31">
            <v>1.4570000000000001</v>
          </cell>
          <cell r="H31">
            <v>57.516690000000004</v>
          </cell>
          <cell r="I31">
            <v>0.25</v>
          </cell>
          <cell r="J31">
            <v>0.55323999999999995</v>
          </cell>
          <cell r="K31">
            <v>0</v>
          </cell>
          <cell r="L31">
            <v>3.8111199999999998</v>
          </cell>
          <cell r="M31">
            <v>4.5984799999999995</v>
          </cell>
          <cell r="N31">
            <v>3.48163</v>
          </cell>
          <cell r="O31">
            <v>18.960650000000001</v>
          </cell>
          <cell r="P31">
            <v>96.16395</v>
          </cell>
        </row>
        <row r="32">
          <cell r="D32">
            <v>10</v>
          </cell>
          <cell r="E32">
            <v>0</v>
          </cell>
          <cell r="F32">
            <v>5.3479100000000006</v>
          </cell>
          <cell r="G32">
            <v>4311.9763400000002</v>
          </cell>
          <cell r="H32">
            <v>2114.9787699999997</v>
          </cell>
          <cell r="I32">
            <v>134.86419000000001</v>
          </cell>
          <cell r="J32">
            <v>169.25864999999999</v>
          </cell>
          <cell r="K32">
            <v>0</v>
          </cell>
          <cell r="L32">
            <v>1.3821199999999998</v>
          </cell>
          <cell r="M32">
            <v>161.73487</v>
          </cell>
          <cell r="N32">
            <v>874.01478000000009</v>
          </cell>
          <cell r="O32">
            <v>7195.0975199999984</v>
          </cell>
          <cell r="P32">
            <v>14978.655149999999</v>
          </cell>
        </row>
        <row r="33">
          <cell r="D33">
            <v>0</v>
          </cell>
          <cell r="E33">
            <v>0</v>
          </cell>
          <cell r="F33">
            <v>4.5101000000000004</v>
          </cell>
          <cell r="G33">
            <v>2.2923800000000001</v>
          </cell>
          <cell r="H33">
            <v>1280.1763399999998</v>
          </cell>
          <cell r="I33">
            <v>0</v>
          </cell>
          <cell r="J33">
            <v>129.50135999999998</v>
          </cell>
          <cell r="K33">
            <v>0</v>
          </cell>
          <cell r="L33">
            <v>1.3821199999999998</v>
          </cell>
          <cell r="M33">
            <v>0</v>
          </cell>
          <cell r="N33">
            <v>13.820780000000001</v>
          </cell>
          <cell r="O33">
            <v>6691.4661499999984</v>
          </cell>
          <cell r="P33">
            <v>8123.1492299999982</v>
          </cell>
        </row>
        <row r="34">
          <cell r="D34">
            <v>10</v>
          </cell>
          <cell r="E34">
            <v>0</v>
          </cell>
          <cell r="F34">
            <v>0.83780999999999994</v>
          </cell>
          <cell r="G34">
            <v>4309.6839600000003</v>
          </cell>
          <cell r="H34">
            <v>834.80242999999996</v>
          </cell>
          <cell r="I34">
            <v>134.86419000000001</v>
          </cell>
          <cell r="J34">
            <v>39.757289999999998</v>
          </cell>
          <cell r="K34">
            <v>0</v>
          </cell>
          <cell r="L34">
            <v>0</v>
          </cell>
          <cell r="M34">
            <v>161.73487</v>
          </cell>
          <cell r="N34">
            <v>860.19400000000007</v>
          </cell>
          <cell r="O34">
            <v>503.63137</v>
          </cell>
          <cell r="P34">
            <v>6855.5059200000005</v>
          </cell>
        </row>
        <row r="35">
          <cell r="D35">
            <v>10</v>
          </cell>
          <cell r="E35">
            <v>0</v>
          </cell>
          <cell r="F35">
            <v>0.83780999999999994</v>
          </cell>
          <cell r="G35">
            <v>4309.6839600000003</v>
          </cell>
          <cell r="H35">
            <v>834.80242999999996</v>
          </cell>
          <cell r="I35">
            <v>134.86419000000001</v>
          </cell>
          <cell r="J35">
            <v>0</v>
          </cell>
          <cell r="K35">
            <v>0</v>
          </cell>
          <cell r="L35">
            <v>0</v>
          </cell>
          <cell r="M35">
            <v>161.73487</v>
          </cell>
          <cell r="N35">
            <v>860.19400000000007</v>
          </cell>
          <cell r="O35">
            <v>503.63137</v>
          </cell>
          <cell r="P35">
            <v>6815.748630000001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161.73487</v>
          </cell>
          <cell r="N36">
            <v>858.36400000000003</v>
          </cell>
          <cell r="O36">
            <v>0</v>
          </cell>
          <cell r="P36">
            <v>1020.09887</v>
          </cell>
        </row>
        <row r="37">
          <cell r="D37">
            <v>10</v>
          </cell>
          <cell r="E37">
            <v>0</v>
          </cell>
          <cell r="F37">
            <v>0.83780999999999994</v>
          </cell>
          <cell r="G37">
            <v>4309.6839600000003</v>
          </cell>
          <cell r="H37">
            <v>755.55399999999997</v>
          </cell>
          <cell r="I37">
            <v>134.86419000000001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1.83</v>
          </cell>
          <cell r="O37">
            <v>503.63137</v>
          </cell>
          <cell r="P37">
            <v>5716.4013300000006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79.248429999999999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79.248429999999999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39.757289999999998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39.757289999999998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8">
          <cell r="D48">
            <v>1930</v>
          </cell>
          <cell r="E48">
            <v>296.13213999999999</v>
          </cell>
          <cell r="F48">
            <v>53457.960109999978</v>
          </cell>
          <cell r="G48">
            <v>8772.7479500000009</v>
          </cell>
          <cell r="H48">
            <v>29850.869619999998</v>
          </cell>
          <cell r="I48">
            <v>34993.072310000003</v>
          </cell>
          <cell r="J48">
            <v>2522.6142</v>
          </cell>
          <cell r="K48">
            <v>1903.9941299999998</v>
          </cell>
          <cell r="L48">
            <v>3936.4897100000003</v>
          </cell>
          <cell r="M48">
            <v>1129.0390300000004</v>
          </cell>
          <cell r="N48">
            <v>3932.8557800000008</v>
          </cell>
          <cell r="O48">
            <v>38139.926380000004</v>
          </cell>
          <cell r="P48">
            <v>180865.70136000001</v>
          </cell>
        </row>
        <row r="50">
          <cell r="E50">
            <v>0</v>
          </cell>
          <cell r="F50">
            <v>0</v>
          </cell>
          <cell r="G50">
            <v>25.404040000000002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25.404040000000002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44649.332170000001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44649.332170000001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19524.83726</v>
          </cell>
        </row>
      </sheetData>
      <sheetData sheetId="27">
        <row r="5">
          <cell r="C5">
            <v>-2034.3566700000156</v>
          </cell>
          <cell r="D5">
            <v>108.19256999997015</v>
          </cell>
        </row>
      </sheetData>
      <sheetData sheetId="28">
        <row r="7">
          <cell r="D7">
            <v>61850.507890000008</v>
          </cell>
          <cell r="E7">
            <v>40414.840489999995</v>
          </cell>
          <cell r="F7">
            <v>102265.34838000001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0</v>
          </cell>
          <cell r="E10">
            <v>0</v>
          </cell>
          <cell r="F10">
            <v>0</v>
          </cell>
        </row>
        <row r="11">
          <cell r="D11">
            <v>660.37840000000028</v>
          </cell>
          <cell r="E11">
            <v>1301.31666</v>
          </cell>
          <cell r="F11">
            <v>1961.6950600000002</v>
          </cell>
        </row>
        <row r="12">
          <cell r="D12">
            <v>60613.253730000004</v>
          </cell>
          <cell r="E12">
            <v>34875.862099999998</v>
          </cell>
          <cell r="F12">
            <v>95489.115829999995</v>
          </cell>
        </row>
        <row r="13">
          <cell r="D13">
            <v>5061.6734800000013</v>
          </cell>
          <cell r="E13">
            <v>367.17525000000006</v>
          </cell>
          <cell r="F13">
            <v>5428.8487300000015</v>
          </cell>
        </row>
        <row r="14">
          <cell r="D14">
            <v>55257.014710000003</v>
          </cell>
          <cell r="E14">
            <v>34387.778679999996</v>
          </cell>
          <cell r="F14">
            <v>89644.793390000006</v>
          </cell>
        </row>
        <row r="15">
          <cell r="D15">
            <v>498.65716000000003</v>
          </cell>
          <cell r="E15">
            <v>1755.45353</v>
          </cell>
          <cell r="F15">
            <v>2254.11069</v>
          </cell>
        </row>
        <row r="16">
          <cell r="D16">
            <v>78.218599999999995</v>
          </cell>
          <cell r="E16">
            <v>2482.2082</v>
          </cell>
          <cell r="F16">
            <v>2560.4268000000002</v>
          </cell>
        </row>
        <row r="17">
          <cell r="D17">
            <v>6852.4982799999998</v>
          </cell>
          <cell r="E17">
            <v>948.76168999999993</v>
          </cell>
          <cell r="F17">
            <v>7801.2599700000001</v>
          </cell>
        </row>
        <row r="18">
          <cell r="D18">
            <v>0</v>
          </cell>
          <cell r="E18">
            <v>1.27603</v>
          </cell>
          <cell r="F18">
            <v>1.27603</v>
          </cell>
        </row>
        <row r="19">
          <cell r="D19">
            <v>6838.7145700000001</v>
          </cell>
          <cell r="E19">
            <v>931.06898999999999</v>
          </cell>
          <cell r="F19">
            <v>7769.7835599999999</v>
          </cell>
        </row>
        <row r="20">
          <cell r="D20">
            <v>1781.3047999999999</v>
          </cell>
          <cell r="E20">
            <v>207.73338000000001</v>
          </cell>
          <cell r="F20">
            <v>1989.03818</v>
          </cell>
        </row>
        <row r="21">
          <cell r="D21">
            <v>5057.4097700000002</v>
          </cell>
          <cell r="E21">
            <v>723.33560999999997</v>
          </cell>
          <cell r="F21">
            <v>5780.7453800000003</v>
          </cell>
        </row>
        <row r="22">
          <cell r="D22">
            <v>0</v>
          </cell>
          <cell r="E22">
            <v>8.0954599999999992</v>
          </cell>
          <cell r="F22">
            <v>8.0954599999999992</v>
          </cell>
        </row>
        <row r="32">
          <cell r="D32">
            <v>68703.006170000008</v>
          </cell>
          <cell r="E32">
            <v>41363.602179999994</v>
          </cell>
          <cell r="F32">
            <v>110066.60834999999</v>
          </cell>
        </row>
        <row r="34">
          <cell r="D34">
            <v>54378.583659999989</v>
          </cell>
          <cell r="E34">
            <v>40279.944720000021</v>
          </cell>
          <cell r="F34">
            <v>94658.528380000003</v>
          </cell>
        </row>
        <row r="35">
          <cell r="D35">
            <v>6824.8195799999985</v>
          </cell>
          <cell r="E35">
            <v>34754.317450000017</v>
          </cell>
          <cell r="F35">
            <v>41579.137030000013</v>
          </cell>
        </row>
        <row r="36">
          <cell r="D36">
            <v>9796.1820600000028</v>
          </cell>
          <cell r="E36">
            <v>3261.25153</v>
          </cell>
          <cell r="F36">
            <v>13057.433590000002</v>
          </cell>
        </row>
        <row r="37">
          <cell r="D37">
            <v>0.95764000000000005</v>
          </cell>
          <cell r="E37">
            <v>71.499290000000016</v>
          </cell>
          <cell r="F37">
            <v>72.456930000000014</v>
          </cell>
        </row>
        <row r="38">
          <cell r="D38">
            <v>37024.267479999988</v>
          </cell>
          <cell r="E38">
            <v>2057.2826500000001</v>
          </cell>
          <cell r="F38">
            <v>39081.550129999989</v>
          </cell>
        </row>
        <row r="39">
          <cell r="D39">
            <v>296.00664999999998</v>
          </cell>
          <cell r="E39">
            <v>0</v>
          </cell>
          <cell r="F39">
            <v>296.00664999999998</v>
          </cell>
        </row>
        <row r="40">
          <cell r="D40">
            <v>36728.260829999985</v>
          </cell>
          <cell r="E40">
            <v>2057.2826500000001</v>
          </cell>
          <cell r="F40">
            <v>38785.543479999986</v>
          </cell>
        </row>
        <row r="41">
          <cell r="D41">
            <v>706.27884999999992</v>
          </cell>
          <cell r="E41">
            <v>0</v>
          </cell>
          <cell r="F41">
            <v>706.27884999999992</v>
          </cell>
        </row>
        <row r="42">
          <cell r="D42">
            <v>26.078049999999998</v>
          </cell>
          <cell r="E42">
            <v>135.59379999999999</v>
          </cell>
          <cell r="F42">
            <v>161.67184999999998</v>
          </cell>
        </row>
        <row r="43">
          <cell r="D43">
            <v>5160.1240800000005</v>
          </cell>
          <cell r="E43">
            <v>975.4648900000002</v>
          </cell>
          <cell r="F43">
            <v>6135.5889700000007</v>
          </cell>
        </row>
        <row r="44">
          <cell r="D44">
            <v>11.81376</v>
          </cell>
          <cell r="E44">
            <v>975.4648900000002</v>
          </cell>
          <cell r="F44">
            <v>987.2786500000002</v>
          </cell>
        </row>
        <row r="45">
          <cell r="D45">
            <v>5148.3103200000005</v>
          </cell>
          <cell r="E45">
            <v>0</v>
          </cell>
          <cell r="F45">
            <v>5148.3103200000005</v>
          </cell>
        </row>
        <row r="46">
          <cell r="D46">
            <v>0</v>
          </cell>
          <cell r="E46">
            <v>0</v>
          </cell>
          <cell r="F46">
            <v>0</v>
          </cell>
        </row>
        <row r="48">
          <cell r="D48">
            <v>59538.707739999991</v>
          </cell>
          <cell r="E48">
            <v>41255.409610000024</v>
          </cell>
          <cell r="F48">
            <v>100794.11735000001</v>
          </cell>
        </row>
        <row r="50">
          <cell r="D50">
            <v>1272.82206</v>
          </cell>
          <cell r="E50">
            <v>2.1028500000000001</v>
          </cell>
          <cell r="F50">
            <v>1274.92491</v>
          </cell>
        </row>
        <row r="51">
          <cell r="D51">
            <v>0</v>
          </cell>
          <cell r="E51">
            <v>123.91357000000001</v>
          </cell>
          <cell r="F51">
            <v>123.91357000000001</v>
          </cell>
        </row>
        <row r="52">
          <cell r="D52">
            <v>0</v>
          </cell>
          <cell r="E52">
            <v>0</v>
          </cell>
          <cell r="F52">
            <v>0</v>
          </cell>
        </row>
        <row r="56">
          <cell r="D56">
            <v>9164.2984300000171</v>
          </cell>
          <cell r="E56">
            <v>108.19256999997015</v>
          </cell>
          <cell r="F56">
            <v>9272.4909999999873</v>
          </cell>
        </row>
        <row r="84">
          <cell r="D84">
            <v>9164.2984300000171</v>
          </cell>
          <cell r="E84">
            <v>108.19256999997015</v>
          </cell>
          <cell r="F84">
            <v>9272.4909999999873</v>
          </cell>
        </row>
        <row r="87">
          <cell r="D87">
            <v>59537.75009999999</v>
          </cell>
          <cell r="E87">
            <v>41183.910320000025</v>
          </cell>
          <cell r="F87">
            <v>100721.66042000001</v>
          </cell>
        </row>
        <row r="88">
          <cell r="D88">
            <v>9165.2560700000176</v>
          </cell>
          <cell r="E88">
            <v>179.69185999997018</v>
          </cell>
          <cell r="F88">
            <v>9344.9479299999875</v>
          </cell>
        </row>
        <row r="89">
          <cell r="D89">
            <v>7471.9242300000187</v>
          </cell>
          <cell r="E89">
            <v>134.89576999997371</v>
          </cell>
          <cell r="F89">
            <v>7606.820000000007</v>
          </cell>
        </row>
        <row r="90">
          <cell r="D90">
            <v>1692.3741999999993</v>
          </cell>
          <cell r="E90">
            <v>-26.703200000000265</v>
          </cell>
          <cell r="F90">
            <v>1665.6709999999994</v>
          </cell>
        </row>
      </sheetData>
      <sheetData sheetId="29">
        <row r="6">
          <cell r="D6">
            <v>36484.657330000009</v>
          </cell>
          <cell r="E6">
            <v>24396.755210000003</v>
          </cell>
          <cell r="F6">
            <v>60881.412540000012</v>
          </cell>
        </row>
        <row r="7">
          <cell r="D7">
            <v>0</v>
          </cell>
          <cell r="E7">
            <v>0</v>
          </cell>
          <cell r="F7">
            <v>0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36484.657330000009</v>
          </cell>
          <cell r="E10">
            <v>24396.755210000003</v>
          </cell>
          <cell r="F10">
            <v>60881.412540000012</v>
          </cell>
        </row>
        <row r="11">
          <cell r="D11">
            <v>35961.101570000006</v>
          </cell>
          <cell r="E11">
            <v>21808.190460000002</v>
          </cell>
          <cell r="F11">
            <v>57769.292030000011</v>
          </cell>
        </row>
        <row r="12">
          <cell r="D12">
            <v>6295.7646100000002</v>
          </cell>
          <cell r="E12">
            <v>-3692.5283399999985</v>
          </cell>
          <cell r="F12">
            <v>2603.2362700000017</v>
          </cell>
        </row>
        <row r="13">
          <cell r="D13">
            <v>0</v>
          </cell>
          <cell r="E13">
            <v>0.83589000000000002</v>
          </cell>
          <cell r="F13">
            <v>0.83589000000000002</v>
          </cell>
        </row>
        <row r="14">
          <cell r="D14">
            <v>6292.9299099999998</v>
          </cell>
          <cell r="E14">
            <v>-3696.7798199999984</v>
          </cell>
          <cell r="F14">
            <v>2596.1500900000015</v>
          </cell>
        </row>
        <row r="16">
          <cell r="D16">
            <v>42780.421940000007</v>
          </cell>
          <cell r="E16">
            <v>20704.226870000006</v>
          </cell>
          <cell r="F16">
            <v>63484.648810000013</v>
          </cell>
        </row>
        <row r="17">
          <cell r="D17">
            <v>31357.490939999985</v>
          </cell>
          <cell r="E17">
            <v>20938.159310000014</v>
          </cell>
          <cell r="F17">
            <v>52295.650249999999</v>
          </cell>
        </row>
        <row r="18">
          <cell r="D18">
            <v>9238.966699999999</v>
          </cell>
          <cell r="E18">
            <v>19875.188390000014</v>
          </cell>
          <cell r="F18">
            <v>29114.155090000015</v>
          </cell>
        </row>
        <row r="19">
          <cell r="D19">
            <v>3489.1385699999964</v>
          </cell>
          <cell r="E19">
            <v>17403.296830000014</v>
          </cell>
          <cell r="F19">
            <v>20892.435400000009</v>
          </cell>
        </row>
        <row r="20">
          <cell r="D20">
            <v>5749.8281300000017</v>
          </cell>
          <cell r="E20">
            <v>2471.89156</v>
          </cell>
          <cell r="F20">
            <v>8221.7196900000017</v>
          </cell>
        </row>
        <row r="21">
          <cell r="D21">
            <v>415.62532999999996</v>
          </cell>
          <cell r="E21">
            <v>0</v>
          </cell>
          <cell r="F21">
            <v>415.62532999999996</v>
          </cell>
        </row>
        <row r="22">
          <cell r="D22">
            <v>0.94025000000000014</v>
          </cell>
          <cell r="E22">
            <v>20.568240000000021</v>
          </cell>
          <cell r="F22">
            <v>21.50849000000002</v>
          </cell>
        </row>
        <row r="23">
          <cell r="D23">
            <v>21701.958659999989</v>
          </cell>
          <cell r="E23">
            <v>1042.4026799999999</v>
          </cell>
          <cell r="F23">
            <v>22744.361339999989</v>
          </cell>
        </row>
        <row r="24">
          <cell r="D24">
            <v>5157.3688800000009</v>
          </cell>
          <cell r="E24">
            <v>783.35975000000019</v>
          </cell>
          <cell r="F24">
            <v>5940.7286300000014</v>
          </cell>
        </row>
        <row r="25">
          <cell r="D25">
            <v>9.0585599999999999</v>
          </cell>
          <cell r="E25">
            <v>783.35975000000019</v>
          </cell>
          <cell r="F25">
            <v>792.41831000000025</v>
          </cell>
        </row>
        <row r="26">
          <cell r="D26">
            <v>5148.3103200000005</v>
          </cell>
          <cell r="E26">
            <v>0</v>
          </cell>
          <cell r="F26">
            <v>5148.3103200000005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9">
          <cell r="D29">
            <v>36514.859819999983</v>
          </cell>
          <cell r="E29">
            <v>21721.519060000013</v>
          </cell>
          <cell r="F29">
            <v>58236.378879999997</v>
          </cell>
        </row>
        <row r="31">
          <cell r="D31">
            <v>6265.5621200000242</v>
          </cell>
          <cell r="E31">
            <v>-1017.2921900000074</v>
          </cell>
          <cell r="F31">
            <v>5248.2699300000168</v>
          </cell>
        </row>
      </sheetData>
      <sheetData sheetId="30"/>
      <sheetData sheetId="31">
        <row r="5">
          <cell r="B5">
            <v>27130239.729999997</v>
          </cell>
          <cell r="C5">
            <v>18893200.459999997</v>
          </cell>
          <cell r="D5">
            <v>1119068.7899999998</v>
          </cell>
          <cell r="E5">
            <v>1.342710056135759</v>
          </cell>
          <cell r="F5">
            <v>1.6239978878464698</v>
          </cell>
          <cell r="G5">
            <v>2.3314641821672311E-3</v>
          </cell>
        </row>
        <row r="6">
          <cell r="B6">
            <v>37078384.710000001</v>
          </cell>
          <cell r="C6">
            <v>29563395.800000001</v>
          </cell>
          <cell r="D6">
            <v>630</v>
          </cell>
          <cell r="E6">
            <v>-3.3259048656563261E-2</v>
          </cell>
          <cell r="F6">
            <v>-4.1363762589080921E-2</v>
          </cell>
          <cell r="G6">
            <v>0</v>
          </cell>
        </row>
        <row r="7">
          <cell r="B7">
            <v>64208624.439999998</v>
          </cell>
          <cell r="C7">
            <v>48456596.259999998</v>
          </cell>
          <cell r="D7">
            <v>1119698.7899999998</v>
          </cell>
          <cell r="E7">
            <v>0.28585155993905564</v>
          </cell>
          <cell r="F7">
            <v>0.27386044217307526</v>
          </cell>
          <cell r="G7">
            <v>2.330149324079045E-3</v>
          </cell>
        </row>
        <row r="13">
          <cell r="B13">
            <v>68905856.730000004</v>
          </cell>
          <cell r="C13">
            <v>68305369.280000001</v>
          </cell>
          <cell r="D13">
            <v>1123045.21</v>
          </cell>
          <cell r="E13">
            <v>0.28793868259404554</v>
          </cell>
          <cell r="F13">
            <v>0.29227005831920527</v>
          </cell>
          <cell r="G13">
            <v>2.9980772051126925E-2</v>
          </cell>
        </row>
        <row r="14">
          <cell r="B14">
            <v>465619.44</v>
          </cell>
          <cell r="C14">
            <v>465619.44</v>
          </cell>
          <cell r="D14">
            <v>0</v>
          </cell>
          <cell r="E14">
            <v>3.6798601128499975E-2</v>
          </cell>
          <cell r="F14">
            <v>3.6798601128499975E-2</v>
          </cell>
          <cell r="G14">
            <v>0</v>
          </cell>
        </row>
        <row r="15">
          <cell r="B15">
            <v>69371476.170000002</v>
          </cell>
          <cell r="C15">
            <v>68770988.719999999</v>
          </cell>
          <cell r="D15">
            <v>1123045.21</v>
          </cell>
          <cell r="E15">
            <v>0.28584812819306449</v>
          </cell>
          <cell r="F15">
            <v>0.29011775650757898</v>
          </cell>
          <cell r="G15">
            <v>2.9980772051126925E-2</v>
          </cell>
        </row>
        <row r="21">
          <cell r="B21">
            <v>51795739.240000397</v>
          </cell>
          <cell r="C21">
            <v>47505707.280000389</v>
          </cell>
          <cell r="D21">
            <v>19006727.27</v>
          </cell>
          <cell r="E21">
            <v>3.3445917433726491E-2</v>
          </cell>
          <cell r="F21">
            <v>3.6063162487063316E-2</v>
          </cell>
          <cell r="G21">
            <v>0.42757571957084584</v>
          </cell>
        </row>
        <row r="22">
          <cell r="B22">
            <v>11766201.209999999</v>
          </cell>
          <cell r="C22">
            <v>3049066.209999999</v>
          </cell>
          <cell r="D22">
            <v>1110896.8300000003</v>
          </cell>
          <cell r="E22">
            <v>6.7380016670592902E-4</v>
          </cell>
          <cell r="F22">
            <v>2.6051812589913403E-3</v>
          </cell>
          <cell r="G22">
            <v>0.23894966167399079</v>
          </cell>
        </row>
        <row r="23">
          <cell r="B23">
            <v>63561940.450000398</v>
          </cell>
          <cell r="C23">
            <v>50554773.49000039</v>
          </cell>
          <cell r="D23">
            <v>20117624.100000001</v>
          </cell>
          <cell r="E23">
            <v>2.7218415209661062E-2</v>
          </cell>
          <cell r="F23">
            <v>3.3982088644914032E-2</v>
          </cell>
          <cell r="G23">
            <v>0.41567403782063606</v>
          </cell>
        </row>
        <row r="29">
          <cell r="B29">
            <v>147831835.70000041</v>
          </cell>
          <cell r="C29">
            <v>134704277.0200004</v>
          </cell>
          <cell r="D29">
            <v>21248841.27</v>
          </cell>
          <cell r="E29">
            <v>0.28325089225085387</v>
          </cell>
          <cell r="F29">
            <v>0.27188484031550209</v>
          </cell>
          <cell r="G29">
            <v>0.36905490176605249</v>
          </cell>
        </row>
        <row r="30">
          <cell r="B30">
            <v>5346352.9499999993</v>
          </cell>
          <cell r="C30">
            <v>4559945.25</v>
          </cell>
          <cell r="D30">
            <v>9327.41</v>
          </cell>
          <cell r="E30">
            <v>4.0465413594813384</v>
          </cell>
          <cell r="F30">
            <v>7.7844507998482975</v>
          </cell>
          <cell r="G30">
            <v>5.5935996812067179E-2</v>
          </cell>
        </row>
        <row r="31">
          <cell r="B31">
            <v>76865128.230000392</v>
          </cell>
          <cell r="C31">
            <v>76178342.270000383</v>
          </cell>
          <cell r="D31">
            <v>20768737.459999997</v>
          </cell>
          <cell r="E31">
            <v>0.19094919375243369</v>
          </cell>
          <cell r="F31">
            <v>0.19522800426846731</v>
          </cell>
          <cell r="G31">
            <v>0.38536769326378573</v>
          </cell>
        </row>
        <row r="32">
          <cell r="B32">
            <v>14839373.529999997</v>
          </cell>
          <cell r="C32">
            <v>8502581.4499999993</v>
          </cell>
          <cell r="D32">
            <v>322075.35000000009</v>
          </cell>
          <cell r="E32">
            <v>0.33492965004720876</v>
          </cell>
          <cell r="F32">
            <v>0.7789951265122903</v>
          </cell>
          <cell r="G32">
            <v>-0.13446524347278777</v>
          </cell>
        </row>
        <row r="33">
          <cell r="B33">
            <v>49769616.890000001</v>
          </cell>
          <cell r="C33">
            <v>44474215.390000001</v>
          </cell>
          <cell r="D33">
            <v>148691.04999999999</v>
          </cell>
          <cell r="E33">
            <v>0.30472698773344886</v>
          </cell>
          <cell r="F33">
            <v>0.21703423206076278</v>
          </cell>
          <cell r="G33">
            <v>2.250649867566068E-3</v>
          </cell>
        </row>
        <row r="34">
          <cell r="B34">
            <v>899641.02</v>
          </cell>
          <cell r="C34">
            <v>884956.77</v>
          </cell>
          <cell r="D34">
            <v>0</v>
          </cell>
          <cell r="E34">
            <v>1.8557837507155401</v>
          </cell>
          <cell r="F34">
            <v>1.8091706665973386</v>
          </cell>
          <cell r="G34">
            <v>0</v>
          </cell>
        </row>
        <row r="35">
          <cell r="B35">
            <v>111723.07999999999</v>
          </cell>
          <cell r="C35">
            <v>104235.88999999998</v>
          </cell>
          <cell r="D35">
            <v>10</v>
          </cell>
          <cell r="E35">
            <v>3.7136582202591431</v>
          </cell>
          <cell r="F35">
            <v>5.0902667576581218</v>
          </cell>
          <cell r="G35">
            <v>0</v>
          </cell>
        </row>
        <row r="36">
          <cell r="B36">
            <v>49310205.359999999</v>
          </cell>
          <cell r="C36">
            <v>33078081.450000003</v>
          </cell>
          <cell r="D36">
            <v>1111526.8300000003</v>
          </cell>
          <cell r="E36">
            <v>-2.4745547536220269E-2</v>
          </cell>
          <cell r="F36">
            <v>-3.6446146583694716E-2</v>
          </cell>
          <cell r="G36">
            <v>0.23878188875273842</v>
          </cell>
        </row>
        <row r="37">
          <cell r="B37">
            <v>27791619.239999998</v>
          </cell>
          <cell r="C37">
            <v>17956880.579999998</v>
          </cell>
          <cell r="D37">
            <v>1111526.8300000003</v>
          </cell>
          <cell r="E37">
            <v>-6.7692859887791279E-2</v>
          </cell>
          <cell r="F37">
            <v>-0.10102198124860873</v>
          </cell>
          <cell r="G37">
            <v>0.23878188875273842</v>
          </cell>
        </row>
        <row r="38">
          <cell r="B38">
            <v>21518586.120000001</v>
          </cell>
          <cell r="C38">
            <v>15121200.870000001</v>
          </cell>
          <cell r="D38">
            <v>0</v>
          </cell>
          <cell r="E38">
            <v>3.6947144103803398E-2</v>
          </cell>
          <cell r="F38">
            <v>5.3413441394788652E-2</v>
          </cell>
          <cell r="G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197142041.06000039</v>
          </cell>
          <cell r="C40">
            <v>167782358.47000039</v>
          </cell>
          <cell r="D40">
            <v>22360368.100000001</v>
          </cell>
          <cell r="E40">
            <v>0.18930484632523648</v>
          </cell>
          <cell r="F40">
            <v>0.19640787000692295</v>
          </cell>
          <cell r="G40">
            <v>0.36193527739015607</v>
          </cell>
        </row>
        <row r="42">
          <cell r="B42">
            <v>150992655.53</v>
          </cell>
          <cell r="C42">
            <v>121645456.88000003</v>
          </cell>
          <cell r="D42">
            <v>2242743.9999999986</v>
          </cell>
          <cell r="E42">
            <v>0.24554446880525393</v>
          </cell>
          <cell r="F42">
            <v>0.2709168534044708</v>
          </cell>
          <cell r="G42">
            <v>1.598798578251559E-2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T7" sqref="T7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(janeiro-fevereiro)","TABLE VII - Regional Gov. expenditure by functional classification (january-february)")</f>
        <v>TABLE VII - Regional Gov. expenditure by functional classification (january-february)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9">
        <v>2022</v>
      </c>
      <c r="E3" s="332">
        <v>2023</v>
      </c>
      <c r="F3" s="333" t="str">
        <f>+IF(Índice!$D$2=1,"Peso na estrutura
 em 2023","Weight in 2023 structure")</f>
        <v>Weight in 2023 structure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f>+[2]D_Est_Func_Q7!D8</f>
        <v>27205.202059999989</v>
      </c>
      <c r="E5" s="34">
        <f>+[2]D_Est_Func_Q7!E8</f>
        <v>30872.753330000003</v>
      </c>
      <c r="F5" s="34">
        <f>+[2]D_Est_Func_Q7!F8</f>
        <v>17.069434999480663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f>+[2]D_Est_Func_Q7!D9</f>
        <v>0</v>
      </c>
      <c r="E6" s="34">
        <f>+[2]D_Est_Func_Q7!E9</f>
        <v>0</v>
      </c>
      <c r="F6" s="34">
        <f>+[2]D_Est_Func_Q7!F9</f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f>+[2]D_Est_Func_Q7!D10</f>
        <v>1295.5858499999999</v>
      </c>
      <c r="E7" s="34">
        <f>+[2]D_Est_Func_Q7!E10</f>
        <v>1231.6411699999999</v>
      </c>
      <c r="F7" s="34">
        <f>+[2]D_Est_Func_Q7!F10</f>
        <v>0.68097000190683377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f>+[2]D_Est_Func_Q7!D11</f>
        <v>38097.231870000011</v>
      </c>
      <c r="E8" s="34">
        <f>+[2]D_Est_Func_Q7!E11</f>
        <v>45504.073169999996</v>
      </c>
      <c r="F8" s="34">
        <f>+[2]D_Est_Func_Q7!F11</f>
        <v>25.159039457363708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f>+[2]D_Est_Func_Q7!D12</f>
        <v>2288.1076900000007</v>
      </c>
      <c r="E9" s="34">
        <f>+[2]D_Est_Func_Q7!E12</f>
        <v>2377.7273200000004</v>
      </c>
      <c r="F9" s="34">
        <f>+[2]D_Est_Func_Q7!F12</f>
        <v>1.3146369389668349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f>+[2]D_Est_Func_Q7!D13</f>
        <v>2702.3105600000017</v>
      </c>
      <c r="E10" s="34">
        <f>+[2]D_Est_Func_Q7!E13</f>
        <v>11040.861890000002</v>
      </c>
      <c r="F10" s="34">
        <f>+[2]D_Est_Func_Q7!F13</f>
        <v>6.1044530870029217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f>+[2]D_Est_Func_Q7!D14</f>
        <v>42612.335010000003</v>
      </c>
      <c r="E11" s="34">
        <f>+[2]D_Est_Func_Q7!E14</f>
        <v>34802.888180000009</v>
      </c>
      <c r="F11" s="34">
        <f>+[2]D_Est_Func_Q7!F14</f>
        <v>19.242392514613595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f>+[2]D_Est_Func_Q7!D15</f>
        <v>2822.3592200000012</v>
      </c>
      <c r="E12" s="34">
        <f>+[2]D_Est_Func_Q7!E15</f>
        <v>2457.8543500000001</v>
      </c>
      <c r="F12" s="34">
        <f>+[2]D_Est_Func_Q7!F15</f>
        <v>1.3589388875383401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f>+[2]D_Est_Func_Q7!D16</f>
        <v>50880.496389999949</v>
      </c>
      <c r="E13" s="34">
        <f>+[2]D_Est_Func_Q7!E16</f>
        <v>51311.019229999933</v>
      </c>
      <c r="F13" s="34">
        <f>+[2]D_Est_Func_Q7!F16</f>
        <v>28.369679184152837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f>+[2]D_Est_Func_Q7!D17</f>
        <v>1519.37978</v>
      </c>
      <c r="E14" s="34">
        <f>+[2]D_Est_Func_Q7!E17</f>
        <v>1266.8827200000003</v>
      </c>
      <c r="F14" s="34">
        <f>+[2]D_Est_Func_Q7!F17</f>
        <v>0.70045492897426853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f>+[2]D_Est_Func_Q7!D19</f>
        <v>169423.00842999993</v>
      </c>
      <c r="E17" s="145">
        <f>+[2]D_Est_Func_Q7!E19</f>
        <v>180865.70135999995</v>
      </c>
      <c r="F17" s="145">
        <f>+[2]D_Est_Func_Q7!F19</f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f>+[2]D_Est_Func_Q7!D22</f>
        <v>671.13022000000001</v>
      </c>
      <c r="E20" s="152">
        <f>+[2]D_Est_Func_Q7!E22</f>
        <v>25.404040000000002</v>
      </c>
      <c r="F20" s="152">
        <f>+[2]D_Est_Func_Q7!F22</f>
        <v>1.4045802940511712E-2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f>+[2]D_Est_Func_Q7!D23</f>
        <v>45439.704549999995</v>
      </c>
      <c r="E21" s="283">
        <f>+[2]D_Est_Func_Q7!E23</f>
        <v>44649.332170000001</v>
      </c>
      <c r="F21" s="283">
        <f>+[2]D_Est_Func_Q7!F23</f>
        <v>24.68645621268389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(janeiro-fevereiro)","TABLE VIII - Budget execution by organic and economic cross-classification (january-february)")</f>
        <v>TABLE VIII - Budget execution by organic and economic cross-classification (january-february)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24</v>
      </c>
    </row>
    <row r="4" spans="2:18" ht="27" customHeight="1">
      <c r="C4" s="253" t="str">
        <f>+IF(Índice!$D$2=1,"Despesa corrente","Current expenditure")</f>
        <v>Current expenditure</v>
      </c>
      <c r="D4" s="194">
        <f>+[2]D_Est_Org_Q8!D9</f>
        <v>1920</v>
      </c>
      <c r="E4" s="194">
        <f>+[2]D_Est_Org_Q8!E9</f>
        <v>296.13213999999999</v>
      </c>
      <c r="F4" s="194">
        <f>+[2]D_Est_Org_Q8!F9</f>
        <v>53452.612199999981</v>
      </c>
      <c r="G4" s="194">
        <f>+[2]D_Est_Org_Q8!G9</f>
        <v>4460.7716099999998</v>
      </c>
      <c r="H4" s="194">
        <f>+[2]D_Est_Org_Q8!H9</f>
        <v>27735.890849999996</v>
      </c>
      <c r="I4" s="194">
        <f>+[2]D_Est_Org_Q8!I9</f>
        <v>34858.208120000003</v>
      </c>
      <c r="J4" s="194">
        <f>+[2]D_Est_Org_Q8!J9</f>
        <v>2353.3555500000002</v>
      </c>
      <c r="K4" s="194">
        <f>+[2]D_Est_Org_Q8!K9</f>
        <v>1903.9941299999998</v>
      </c>
      <c r="L4" s="194">
        <f>+[2]D_Est_Org_Q8!L9</f>
        <v>3935.1075900000001</v>
      </c>
      <c r="M4" s="194">
        <f>+[2]D_Est_Org_Q8!M9</f>
        <v>967.30416000000037</v>
      </c>
      <c r="N4" s="194">
        <f>+[2]D_Est_Org_Q8!N9</f>
        <v>3058.8410000000008</v>
      </c>
      <c r="O4" s="194">
        <f>+[2]D_Est_Org_Q8!O9</f>
        <v>30944.828860000005</v>
      </c>
      <c r="P4" s="194">
        <f>+[2]D_Est_Org_Q8!P9</f>
        <v>165887.04620999994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f>+[2]D_Est_Org_Q8!D10</f>
        <v>0</v>
      </c>
      <c r="E5" s="196">
        <f>+[2]D_Est_Org_Q8!E10</f>
        <v>225.81536</v>
      </c>
      <c r="F5" s="196">
        <f>+[2]D_Est_Org_Q8!F10</f>
        <v>43044.85346999998</v>
      </c>
      <c r="G5" s="196">
        <f>+[2]D_Est_Org_Q8!G10</f>
        <v>917.68371999999999</v>
      </c>
      <c r="H5" s="196">
        <f>+[2]D_Est_Org_Q8!H10</f>
        <v>3822.4140699999998</v>
      </c>
      <c r="I5" s="196">
        <f>+[2]D_Est_Org_Q8!I10</f>
        <v>699.32627999999988</v>
      </c>
      <c r="J5" s="196">
        <f>+[2]D_Est_Org_Q8!J10</f>
        <v>1631.04754</v>
      </c>
      <c r="K5" s="196">
        <f>+[2]D_Est_Org_Q8!K10</f>
        <v>734.47369999999978</v>
      </c>
      <c r="L5" s="196">
        <f>+[2]D_Est_Org_Q8!L10</f>
        <v>764.54849000000024</v>
      </c>
      <c r="M5" s="196">
        <f>+[2]D_Est_Org_Q8!M10</f>
        <v>782.23634000000038</v>
      </c>
      <c r="N5" s="196">
        <f>+[2]D_Est_Org_Q8!N10</f>
        <v>2346.4321300000006</v>
      </c>
      <c r="O5" s="196">
        <f>+[2]D_Est_Org_Q8!O10</f>
        <v>2086.7756100000001</v>
      </c>
      <c r="P5" s="196">
        <f>+[2]D_Est_Org_Q8!P10</f>
        <v>57055.606709999985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f>+[2]D_Est_Org_Q8!D11</f>
        <v>0</v>
      </c>
      <c r="E6" s="198">
        <f>+[2]D_Est_Org_Q8!E11</f>
        <v>187.90776000000002</v>
      </c>
      <c r="F6" s="198">
        <f>+[2]D_Est_Org_Q8!F11</f>
        <v>38097.820149999978</v>
      </c>
      <c r="G6" s="198">
        <f>+[2]D_Est_Org_Q8!G11</f>
        <v>816.89004999999997</v>
      </c>
      <c r="H6" s="198">
        <f>+[2]D_Est_Org_Q8!H11</f>
        <v>3276.3928899999996</v>
      </c>
      <c r="I6" s="198">
        <f>+[2]D_Est_Org_Q8!I11</f>
        <v>615.89658999999995</v>
      </c>
      <c r="J6" s="198">
        <f>+[2]D_Est_Org_Q8!J11</f>
        <v>1454.1745800000001</v>
      </c>
      <c r="K6" s="198">
        <f>+[2]D_Est_Org_Q8!K11</f>
        <v>631.59302999999977</v>
      </c>
      <c r="L6" s="198">
        <f>+[2]D_Est_Org_Q8!L11</f>
        <v>687.18057000000022</v>
      </c>
      <c r="M6" s="198">
        <f>+[2]D_Est_Org_Q8!M11</f>
        <v>680.77387000000033</v>
      </c>
      <c r="N6" s="198">
        <f>+[2]D_Est_Org_Q8!N11</f>
        <v>2077.2581000000005</v>
      </c>
      <c r="O6" s="198">
        <f>+[2]D_Est_Org_Q8!O11</f>
        <v>1852.46621</v>
      </c>
      <c r="P6" s="198">
        <f>+[2]D_Est_Org_Q8!P11</f>
        <v>50378.353799999968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f>+[2]D_Est_Org_Q8!D12</f>
        <v>0</v>
      </c>
      <c r="E7" s="198">
        <f>+[2]D_Est_Org_Q8!E12</f>
        <v>3.47811</v>
      </c>
      <c r="F7" s="198">
        <f>+[2]D_Est_Org_Q8!F12</f>
        <v>309.92284999999998</v>
      </c>
      <c r="G7" s="198">
        <f>+[2]D_Est_Org_Q8!G12</f>
        <v>3.3715399999999995</v>
      </c>
      <c r="H7" s="198">
        <f>+[2]D_Est_Org_Q8!H12</f>
        <v>132.70570000000001</v>
      </c>
      <c r="I7" s="198">
        <f>+[2]D_Est_Org_Q8!I12</f>
        <v>2.2249300000000001</v>
      </c>
      <c r="J7" s="198">
        <f>+[2]D_Est_Org_Q8!J12</f>
        <v>0</v>
      </c>
      <c r="K7" s="198">
        <f>+[2]D_Est_Org_Q8!K12</f>
        <v>27.69622</v>
      </c>
      <c r="L7" s="198">
        <f>+[2]D_Est_Org_Q8!L12</f>
        <v>0.30086999999999997</v>
      </c>
      <c r="M7" s="198">
        <f>+[2]D_Est_Org_Q8!M12</f>
        <v>21.017090000000003</v>
      </c>
      <c r="N7" s="198">
        <f>+[2]D_Est_Org_Q8!N12</f>
        <v>7.7937599999999998</v>
      </c>
      <c r="O7" s="198">
        <f>+[2]D_Est_Org_Q8!O12</f>
        <v>16.745090000000001</v>
      </c>
      <c r="P7" s="198">
        <f>+[2]D_Est_Org_Q8!P12</f>
        <v>525.25615999999991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f>+[2]D_Est_Org_Q8!D13</f>
        <v>0</v>
      </c>
      <c r="E8" s="198">
        <f>+[2]D_Est_Org_Q8!E13</f>
        <v>34.429490000000001</v>
      </c>
      <c r="F8" s="198">
        <f>+[2]D_Est_Org_Q8!F13</f>
        <v>4637.1104699999996</v>
      </c>
      <c r="G8" s="198">
        <f>+[2]D_Est_Org_Q8!G13</f>
        <v>97.42213000000001</v>
      </c>
      <c r="H8" s="198">
        <f>+[2]D_Est_Org_Q8!H13</f>
        <v>413.31547999999998</v>
      </c>
      <c r="I8" s="198">
        <f>+[2]D_Est_Org_Q8!I13</f>
        <v>81.204760000000007</v>
      </c>
      <c r="J8" s="198">
        <f>+[2]D_Est_Org_Q8!J13</f>
        <v>176.87296000000001</v>
      </c>
      <c r="K8" s="198">
        <f>+[2]D_Est_Org_Q8!K13</f>
        <v>75.184449999999984</v>
      </c>
      <c r="L8" s="198">
        <f>+[2]D_Est_Org_Q8!L13</f>
        <v>77.067049999999981</v>
      </c>
      <c r="M8" s="198">
        <f>+[2]D_Est_Org_Q8!M13</f>
        <v>80.445380000000014</v>
      </c>
      <c r="N8" s="198">
        <f>+[2]D_Est_Org_Q8!N13</f>
        <v>261.38027000000005</v>
      </c>
      <c r="O8" s="198">
        <f>+[2]D_Est_Org_Q8!O13</f>
        <v>217.56431000000001</v>
      </c>
      <c r="P8" s="198">
        <f>+[2]D_Est_Org_Q8!P13</f>
        <v>6151.9967499999984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f>+[2]D_Est_Org_Q8!D14</f>
        <v>0</v>
      </c>
      <c r="E9" s="196">
        <f>+[2]D_Est_Org_Q8!E14</f>
        <v>70.316779999999994</v>
      </c>
      <c r="F9" s="196">
        <f>+[2]D_Est_Org_Q8!F14</f>
        <v>1016.6908200000007</v>
      </c>
      <c r="G9" s="196">
        <f>+[2]D_Est_Org_Q8!G14</f>
        <v>40.439949999999996</v>
      </c>
      <c r="H9" s="196">
        <f>+[2]D_Est_Org_Q8!H14</f>
        <v>4560.1231899999984</v>
      </c>
      <c r="I9" s="196">
        <f>+[2]D_Est_Org_Q8!I14</f>
        <v>113.06631</v>
      </c>
      <c r="J9" s="196">
        <f>+[2]D_Est_Org_Q8!J14</f>
        <v>557.3408800000002</v>
      </c>
      <c r="K9" s="196">
        <f>+[2]D_Est_Org_Q8!K14</f>
        <v>12.710729999999998</v>
      </c>
      <c r="L9" s="196">
        <f>+[2]D_Est_Org_Q8!L14</f>
        <v>44.326870000000007</v>
      </c>
      <c r="M9" s="196">
        <f>+[2]D_Est_Org_Q8!M14</f>
        <v>168.56710000000001</v>
      </c>
      <c r="N9" s="196">
        <f>+[2]D_Est_Org_Q8!N14</f>
        <v>158.44184000000001</v>
      </c>
      <c r="O9" s="196">
        <f>+[2]D_Est_Org_Q8!O14</f>
        <v>27108.406500000005</v>
      </c>
      <c r="P9" s="196">
        <f>+[2]D_Est_Org_Q8!P14</f>
        <v>33850.430970000001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f>+[2]D_Est_Org_Q8!D15</f>
        <v>0</v>
      </c>
      <c r="E10" s="198">
        <f>+[2]D_Est_Org_Q8!E15</f>
        <v>16.261579999999999</v>
      </c>
      <c r="F10" s="198">
        <f>+[2]D_Est_Org_Q8!F15</f>
        <v>389.25321000000002</v>
      </c>
      <c r="G10" s="198">
        <f>+[2]D_Est_Org_Q8!G15</f>
        <v>4.1372799999999996</v>
      </c>
      <c r="H10" s="198">
        <f>+[2]D_Est_Org_Q8!H15</f>
        <v>13.894450000000001</v>
      </c>
      <c r="I10" s="198">
        <f>+[2]D_Est_Org_Q8!I15</f>
        <v>3.3141100000000003</v>
      </c>
      <c r="J10" s="198">
        <f>+[2]D_Est_Org_Q8!J15</f>
        <v>56.582400000000007</v>
      </c>
      <c r="K10" s="198">
        <f>+[2]D_Est_Org_Q8!K15</f>
        <v>0.72062999999999999</v>
      </c>
      <c r="L10" s="198">
        <f>+[2]D_Est_Org_Q8!L15</f>
        <v>8.5505200000000006</v>
      </c>
      <c r="M10" s="198">
        <f>+[2]D_Est_Org_Q8!M15</f>
        <v>4.5694299999999997</v>
      </c>
      <c r="N10" s="198">
        <f>+[2]D_Est_Org_Q8!N15</f>
        <v>29.33813</v>
      </c>
      <c r="O10" s="198">
        <f>+[2]D_Est_Org_Q8!O15</f>
        <v>374.46969000000007</v>
      </c>
      <c r="P10" s="198">
        <f>+[2]D_Est_Org_Q8!P15</f>
        <v>901.09143000000017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f>+[2]D_Est_Org_Q8!D16</f>
        <v>0</v>
      </c>
      <c r="E11" s="198">
        <f>+[2]D_Est_Org_Q8!E16</f>
        <v>54.055199999999999</v>
      </c>
      <c r="F11" s="198">
        <f>+[2]D_Est_Org_Q8!F16</f>
        <v>627.43761000000063</v>
      </c>
      <c r="G11" s="198">
        <f>+[2]D_Est_Org_Q8!G16</f>
        <v>36.302669999999999</v>
      </c>
      <c r="H11" s="198">
        <f>+[2]D_Est_Org_Q8!H16</f>
        <v>4546.2287399999987</v>
      </c>
      <c r="I11" s="198">
        <f>+[2]D_Est_Org_Q8!I16</f>
        <v>109.7522</v>
      </c>
      <c r="J11" s="198">
        <f>+[2]D_Est_Org_Q8!J16</f>
        <v>500.75848000000019</v>
      </c>
      <c r="K11" s="198">
        <f>+[2]D_Est_Org_Q8!K16</f>
        <v>11.990099999999998</v>
      </c>
      <c r="L11" s="198">
        <f>+[2]D_Est_Org_Q8!L16</f>
        <v>35.776350000000008</v>
      </c>
      <c r="M11" s="198">
        <f>+[2]D_Est_Org_Q8!M16</f>
        <v>163.99767</v>
      </c>
      <c r="N11" s="198">
        <f>+[2]D_Est_Org_Q8!N16</f>
        <v>129.10371000000001</v>
      </c>
      <c r="O11" s="198">
        <f>+[2]D_Est_Org_Q8!O16</f>
        <v>26733.936810000003</v>
      </c>
      <c r="P11" s="198">
        <f>+[2]D_Est_Org_Q8!P16</f>
        <v>32949.339540000001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f>+[2]D_Est_Org_Q8!D17</f>
        <v>0</v>
      </c>
      <c r="E12" s="198">
        <f>+[2]D_Est_Org_Q8!E17</f>
        <v>0</v>
      </c>
      <c r="F12" s="198">
        <f>+[2]D_Est_Org_Q8!F17</f>
        <v>5.6803200000000009</v>
      </c>
      <c r="G12" s="198">
        <f>+[2]D_Est_Org_Q8!G17</f>
        <v>0</v>
      </c>
      <c r="H12" s="198">
        <f>+[2]D_Est_Org_Q8!H17</f>
        <v>18555.975589999998</v>
      </c>
      <c r="I12" s="198">
        <f>+[2]D_Est_Org_Q8!I17</f>
        <v>4.3899999999999998E-3</v>
      </c>
      <c r="J12" s="198">
        <f>+[2]D_Est_Org_Q8!J17</f>
        <v>0</v>
      </c>
      <c r="K12" s="198">
        <f>+[2]D_Est_Org_Q8!K17</f>
        <v>0</v>
      </c>
      <c r="L12" s="198">
        <f>+[2]D_Est_Org_Q8!L17</f>
        <v>0</v>
      </c>
      <c r="M12" s="198">
        <f>+[2]D_Est_Org_Q8!M17</f>
        <v>0</v>
      </c>
      <c r="N12" s="198">
        <f>+[2]D_Est_Org_Q8!N17</f>
        <v>0</v>
      </c>
      <c r="O12" s="198">
        <f>+[2]D_Est_Org_Q8!O17</f>
        <v>0</v>
      </c>
      <c r="P12" s="198">
        <f>+[2]D_Est_Org_Q8!P17</f>
        <v>18561.660299999996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f>+[2]D_Est_Org_Q8!D18</f>
        <v>1920</v>
      </c>
      <c r="E13" s="196">
        <f>+[2]D_Est_Org_Q8!E18</f>
        <v>0</v>
      </c>
      <c r="F13" s="196">
        <f>+[2]D_Est_Org_Q8!F18</f>
        <v>9379.8524500000021</v>
      </c>
      <c r="G13" s="196">
        <f>+[2]D_Est_Org_Q8!G18</f>
        <v>856.0057599999999</v>
      </c>
      <c r="H13" s="196">
        <f>+[2]D_Est_Org_Q8!H18</f>
        <v>739.86131</v>
      </c>
      <c r="I13" s="196">
        <f>+[2]D_Est_Org_Q8!I18</f>
        <v>34045.561140000005</v>
      </c>
      <c r="J13" s="196">
        <f>+[2]D_Est_Org_Q8!J18</f>
        <v>164.41388999999998</v>
      </c>
      <c r="K13" s="196">
        <f>+[2]D_Est_Org_Q8!K18</f>
        <v>1156.8097</v>
      </c>
      <c r="L13" s="196">
        <f>+[2]D_Est_Org_Q8!L18</f>
        <v>1328.5011100000002</v>
      </c>
      <c r="M13" s="196">
        <f>+[2]D_Est_Org_Q8!M18</f>
        <v>3.6054400000000002</v>
      </c>
      <c r="N13" s="196">
        <f>+[2]D_Est_Org_Q8!N18</f>
        <v>550.48539999999991</v>
      </c>
      <c r="O13" s="196">
        <f>+[2]D_Est_Org_Q8!O18</f>
        <v>1730.6861000000001</v>
      </c>
      <c r="P13" s="196">
        <f>+[2]D_Est_Org_Q8!P18</f>
        <v>51875.782299999999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f>+[2]D_Est_Org_Q8!D19</f>
        <v>1920</v>
      </c>
      <c r="E14" s="200">
        <f>+[2]D_Est_Org_Q8!E19</f>
        <v>0</v>
      </c>
      <c r="F14" s="200">
        <f>+[2]D_Est_Org_Q8!F19</f>
        <v>2622.8821500000004</v>
      </c>
      <c r="G14" s="200">
        <f>+[2]D_Est_Org_Q8!G19</f>
        <v>852.16790999999989</v>
      </c>
      <c r="H14" s="200">
        <f>+[2]D_Est_Org_Q8!H19</f>
        <v>707.82183999999995</v>
      </c>
      <c r="I14" s="200">
        <f>+[2]D_Est_Org_Q8!I19</f>
        <v>34039.855150000003</v>
      </c>
      <c r="J14" s="200">
        <f>+[2]D_Est_Org_Q8!J19</f>
        <v>0</v>
      </c>
      <c r="K14" s="200">
        <f>+[2]D_Est_Org_Q8!K19</f>
        <v>818.58493999999996</v>
      </c>
      <c r="L14" s="200">
        <f>+[2]D_Est_Org_Q8!L19</f>
        <v>1328.0663100000002</v>
      </c>
      <c r="M14" s="200">
        <f>+[2]D_Est_Org_Q8!M19</f>
        <v>0</v>
      </c>
      <c r="N14" s="200">
        <f>+[2]D_Est_Org_Q8!N19</f>
        <v>473.88659999999993</v>
      </c>
      <c r="O14" s="200">
        <f>+[2]D_Est_Org_Q8!O19</f>
        <v>1726.4740000000002</v>
      </c>
      <c r="P14" s="200">
        <f>+[2]D_Est_Org_Q8!P19</f>
        <v>44489.738900000004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f>+[2]D_Est_Org_Q8!D20</f>
        <v>0</v>
      </c>
      <c r="E15" s="198">
        <f>+[2]D_Est_Org_Q8!E20</f>
        <v>0</v>
      </c>
      <c r="F15" s="198">
        <f>+[2]D_Est_Org_Q8!F20</f>
        <v>0</v>
      </c>
      <c r="G15" s="198">
        <f>+[2]D_Est_Org_Q8!G20</f>
        <v>0</v>
      </c>
      <c r="H15" s="198">
        <f>+[2]D_Est_Org_Q8!H20</f>
        <v>0</v>
      </c>
      <c r="I15" s="198">
        <f>+[2]D_Est_Org_Q8!I20</f>
        <v>0</v>
      </c>
      <c r="J15" s="198">
        <f>+[2]D_Est_Org_Q8!J20</f>
        <v>0</v>
      </c>
      <c r="K15" s="198">
        <f>+[2]D_Est_Org_Q8!K20</f>
        <v>0</v>
      </c>
      <c r="L15" s="198">
        <f>+[2]D_Est_Org_Q8!L20</f>
        <v>0</v>
      </c>
      <c r="M15" s="198">
        <f>+[2]D_Est_Org_Q8!M20</f>
        <v>0</v>
      </c>
      <c r="N15" s="198">
        <f>+[2]D_Est_Org_Q8!N20</f>
        <v>0</v>
      </c>
      <c r="O15" s="198">
        <f>+[2]D_Est_Org_Q8!O20</f>
        <v>0</v>
      </c>
      <c r="P15" s="198">
        <f>+[2]D_Est_Org_Q8!P20</f>
        <v>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f>+[2]D_Est_Org_Q8!D21</f>
        <v>1920</v>
      </c>
      <c r="E16" s="198">
        <f>+[2]D_Est_Org_Q8!E21</f>
        <v>0</v>
      </c>
      <c r="F16" s="198">
        <f>+[2]D_Est_Org_Q8!F21</f>
        <v>2622.8821500000004</v>
      </c>
      <c r="G16" s="198">
        <f>+[2]D_Est_Org_Q8!G21</f>
        <v>852.16790999999989</v>
      </c>
      <c r="H16" s="198">
        <f>+[2]D_Est_Org_Q8!H21</f>
        <v>707.82183999999995</v>
      </c>
      <c r="I16" s="198">
        <f>+[2]D_Est_Org_Q8!I21</f>
        <v>34039.855150000003</v>
      </c>
      <c r="J16" s="198">
        <f>+[2]D_Est_Org_Q8!J21</f>
        <v>0</v>
      </c>
      <c r="K16" s="198">
        <f>+[2]D_Est_Org_Q8!K21</f>
        <v>818.58493999999996</v>
      </c>
      <c r="L16" s="198">
        <f>+[2]D_Est_Org_Q8!L21</f>
        <v>1328.0663100000002</v>
      </c>
      <c r="M16" s="198">
        <f>+[2]D_Est_Org_Q8!M21</f>
        <v>0</v>
      </c>
      <c r="N16" s="198">
        <f>+[2]D_Est_Org_Q8!N21</f>
        <v>473.88659999999993</v>
      </c>
      <c r="O16" s="198">
        <f>+[2]D_Est_Org_Q8!O21</f>
        <v>1726.4740000000002</v>
      </c>
      <c r="P16" s="198">
        <f>+[2]D_Est_Org_Q8!P21</f>
        <v>44489.738900000004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f>+[2]D_Est_Org_Q8!D22</f>
        <v>0</v>
      </c>
      <c r="E17" s="198">
        <f>+[2]D_Est_Org_Q8!E22</f>
        <v>0</v>
      </c>
      <c r="F17" s="198">
        <f>+[2]D_Est_Org_Q8!F22</f>
        <v>0</v>
      </c>
      <c r="G17" s="198">
        <f>+[2]D_Est_Org_Q8!G22</f>
        <v>0</v>
      </c>
      <c r="H17" s="198">
        <f>+[2]D_Est_Org_Q8!H22</f>
        <v>0</v>
      </c>
      <c r="I17" s="198">
        <f>+[2]D_Est_Org_Q8!I22</f>
        <v>0</v>
      </c>
      <c r="J17" s="198">
        <f>+[2]D_Est_Org_Q8!J22</f>
        <v>0</v>
      </c>
      <c r="K17" s="198">
        <f>+[2]D_Est_Org_Q8!K22</f>
        <v>0</v>
      </c>
      <c r="L17" s="198">
        <f>+[2]D_Est_Org_Q8!L22</f>
        <v>0</v>
      </c>
      <c r="M17" s="198">
        <f>+[2]D_Est_Org_Q8!M22</f>
        <v>0</v>
      </c>
      <c r="N17" s="198">
        <f>+[2]D_Est_Org_Q8!N22</f>
        <v>0</v>
      </c>
      <c r="O17" s="198">
        <f>+[2]D_Est_Org_Q8!O22</f>
        <v>0</v>
      </c>
      <c r="P17" s="198">
        <f>+[2]D_Est_Org_Q8!P22</f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f>+[2]D_Est_Org_Q8!D23</f>
        <v>0</v>
      </c>
      <c r="E18" s="198">
        <f>+[2]D_Est_Org_Q8!E23</f>
        <v>0</v>
      </c>
      <c r="F18" s="198">
        <f>+[2]D_Est_Org_Q8!F23</f>
        <v>0</v>
      </c>
      <c r="G18" s="198">
        <f>+[2]D_Est_Org_Q8!G23</f>
        <v>0</v>
      </c>
      <c r="H18" s="198">
        <f>+[2]D_Est_Org_Q8!H23</f>
        <v>0</v>
      </c>
      <c r="I18" s="198">
        <f>+[2]D_Est_Org_Q8!I23</f>
        <v>0</v>
      </c>
      <c r="J18" s="198">
        <f>+[2]D_Est_Org_Q8!J23</f>
        <v>0</v>
      </c>
      <c r="K18" s="198">
        <f>+[2]D_Est_Org_Q8!K23</f>
        <v>0</v>
      </c>
      <c r="L18" s="198">
        <f>+[2]D_Est_Org_Q8!L23</f>
        <v>0</v>
      </c>
      <c r="M18" s="198">
        <f>+[2]D_Est_Org_Q8!M23</f>
        <v>0</v>
      </c>
      <c r="N18" s="198">
        <f>+[2]D_Est_Org_Q8!N23</f>
        <v>0</v>
      </c>
      <c r="O18" s="198">
        <f>+[2]D_Est_Org_Q8!O23</f>
        <v>0</v>
      </c>
      <c r="P18" s="198">
        <f>+[2]D_Est_Org_Q8!P23</f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f>+[2]D_Est_Org_Q8!D24</f>
        <v>0</v>
      </c>
      <c r="E19" s="200">
        <f>+[2]D_Est_Org_Q8!E24</f>
        <v>0</v>
      </c>
      <c r="F19" s="200">
        <f>+[2]D_Est_Org_Q8!F24</f>
        <v>6756.9703000000009</v>
      </c>
      <c r="G19" s="200">
        <f>+[2]D_Est_Org_Q8!G24</f>
        <v>3.83785</v>
      </c>
      <c r="H19" s="200">
        <f>+[2]D_Est_Org_Q8!H24</f>
        <v>32.039470000000001</v>
      </c>
      <c r="I19" s="200">
        <f>+[2]D_Est_Org_Q8!I24</f>
        <v>5.7059899999999999</v>
      </c>
      <c r="J19" s="200">
        <f>+[2]D_Est_Org_Q8!J24</f>
        <v>164.41388999999998</v>
      </c>
      <c r="K19" s="200">
        <f>+[2]D_Est_Org_Q8!K24</f>
        <v>338.22476000000006</v>
      </c>
      <c r="L19" s="200">
        <f>+[2]D_Est_Org_Q8!L24</f>
        <v>0.43480000000000002</v>
      </c>
      <c r="M19" s="200">
        <f>+[2]D_Est_Org_Q8!M24</f>
        <v>3.6054400000000002</v>
      </c>
      <c r="N19" s="200">
        <f>+[2]D_Est_Org_Q8!N24</f>
        <v>76.598799999999997</v>
      </c>
      <c r="O19" s="200">
        <f>+[2]D_Est_Org_Q8!O24</f>
        <v>4.2120999999999995</v>
      </c>
      <c r="P19" s="200">
        <f>+[2]D_Est_Org_Q8!P24</f>
        <v>7386.0434000000005</v>
      </c>
    </row>
    <row r="20" spans="2:16" hidden="1">
      <c r="B20" s="195"/>
      <c r="C20" s="187">
        <v>0</v>
      </c>
      <c r="D20" s="198">
        <f>+[2]D_Est_Org_Q8!D25</f>
        <v>0</v>
      </c>
      <c r="E20" s="198">
        <f>+[2]D_Est_Org_Q8!E25</f>
        <v>0</v>
      </c>
      <c r="F20" s="198">
        <f>+[2]D_Est_Org_Q8!F25</f>
        <v>2182.3134700000005</v>
      </c>
      <c r="G20" s="198">
        <f>+[2]D_Est_Org_Q8!G25</f>
        <v>0</v>
      </c>
      <c r="H20" s="198">
        <f>+[2]D_Est_Org_Q8!H25</f>
        <v>0</v>
      </c>
      <c r="I20" s="198">
        <f>+[2]D_Est_Org_Q8!I25</f>
        <v>0</v>
      </c>
      <c r="J20" s="198">
        <f>+[2]D_Est_Org_Q8!J25</f>
        <v>5.25</v>
      </c>
      <c r="K20" s="198">
        <f>+[2]D_Est_Org_Q8!K25</f>
        <v>0</v>
      </c>
      <c r="L20" s="198">
        <f>+[2]D_Est_Org_Q8!L25</f>
        <v>0</v>
      </c>
      <c r="M20" s="198">
        <f>+[2]D_Est_Org_Q8!M25</f>
        <v>0</v>
      </c>
      <c r="N20" s="198">
        <f>+[2]D_Est_Org_Q8!N25</f>
        <v>0</v>
      </c>
      <c r="O20" s="198">
        <f>+[2]D_Est_Org_Q8!O25</f>
        <v>0</v>
      </c>
      <c r="P20" s="198">
        <f>+[2]D_Est_Org_Q8!P25</f>
        <v>2187.5634700000005</v>
      </c>
    </row>
    <row r="21" spans="2:16" hidden="1">
      <c r="B21" s="195"/>
      <c r="C21" s="104">
        <v>0</v>
      </c>
      <c r="D21" s="198">
        <f>+[2]D_Est_Org_Q8!D26</f>
        <v>0</v>
      </c>
      <c r="E21" s="198">
        <f>+[2]D_Est_Org_Q8!E26</f>
        <v>0</v>
      </c>
      <c r="F21" s="198">
        <f>+[2]D_Est_Org_Q8!F26</f>
        <v>0</v>
      </c>
      <c r="G21" s="198">
        <f>+[2]D_Est_Org_Q8!G26</f>
        <v>0</v>
      </c>
      <c r="H21" s="198">
        <f>+[2]D_Est_Org_Q8!H26</f>
        <v>0</v>
      </c>
      <c r="I21" s="198">
        <f>+[2]D_Est_Org_Q8!I26</f>
        <v>0</v>
      </c>
      <c r="J21" s="198">
        <f>+[2]D_Est_Org_Q8!J26</f>
        <v>0</v>
      </c>
      <c r="K21" s="198">
        <f>+[2]D_Est_Org_Q8!K26</f>
        <v>0</v>
      </c>
      <c r="L21" s="198">
        <f>+[2]D_Est_Org_Q8!L26</f>
        <v>0</v>
      </c>
      <c r="M21" s="198">
        <f>+[2]D_Est_Org_Q8!M26</f>
        <v>0</v>
      </c>
      <c r="N21" s="198">
        <f>+[2]D_Est_Org_Q8!N26</f>
        <v>0</v>
      </c>
      <c r="O21" s="198">
        <f>+[2]D_Est_Org_Q8!O26</f>
        <v>0</v>
      </c>
      <c r="P21" s="198">
        <f>+[2]D_Est_Org_Q8!P26</f>
        <v>0</v>
      </c>
    </row>
    <row r="22" spans="2:16" hidden="1">
      <c r="B22" s="195"/>
      <c r="C22" s="104">
        <v>0</v>
      </c>
      <c r="D22" s="198">
        <f>+[2]D_Est_Org_Q8!D27</f>
        <v>0</v>
      </c>
      <c r="E22" s="198">
        <f>+[2]D_Est_Org_Q8!E27</f>
        <v>0</v>
      </c>
      <c r="F22" s="198">
        <f>+[2]D_Est_Org_Q8!F27</f>
        <v>3591.1757100000004</v>
      </c>
      <c r="G22" s="198">
        <f>+[2]D_Est_Org_Q8!G27</f>
        <v>0</v>
      </c>
      <c r="H22" s="198">
        <f>+[2]D_Est_Org_Q8!H27</f>
        <v>0</v>
      </c>
      <c r="I22" s="198">
        <f>+[2]D_Est_Org_Q8!I27</f>
        <v>0</v>
      </c>
      <c r="J22" s="198">
        <f>+[2]D_Est_Org_Q8!J27</f>
        <v>101.71992999999999</v>
      </c>
      <c r="K22" s="198">
        <f>+[2]D_Est_Org_Q8!K27</f>
        <v>335.85516000000007</v>
      </c>
      <c r="L22" s="198">
        <f>+[2]D_Est_Org_Q8!L27</f>
        <v>0</v>
      </c>
      <c r="M22" s="198">
        <f>+[2]D_Est_Org_Q8!M27</f>
        <v>0</v>
      </c>
      <c r="N22" s="198">
        <f>+[2]D_Est_Org_Q8!N27</f>
        <v>67.5</v>
      </c>
      <c r="O22" s="198">
        <f>+[2]D_Est_Org_Q8!O27</f>
        <v>0</v>
      </c>
      <c r="P22" s="198">
        <f>+[2]D_Est_Org_Q8!P27</f>
        <v>4096.2508000000007</v>
      </c>
    </row>
    <row r="23" spans="2:16" hidden="1">
      <c r="B23" s="195"/>
      <c r="C23" s="104">
        <v>0</v>
      </c>
      <c r="D23" s="198">
        <f>+[2]D_Est_Org_Q8!D28</f>
        <v>0</v>
      </c>
      <c r="E23" s="198">
        <f>+[2]D_Est_Org_Q8!E28</f>
        <v>0</v>
      </c>
      <c r="F23" s="198">
        <f>+[2]D_Est_Org_Q8!F28</f>
        <v>983.48112000000015</v>
      </c>
      <c r="G23" s="198">
        <f>+[2]D_Est_Org_Q8!G28</f>
        <v>3.83785</v>
      </c>
      <c r="H23" s="198">
        <f>+[2]D_Est_Org_Q8!H28</f>
        <v>17.854469999999999</v>
      </c>
      <c r="I23" s="198">
        <f>+[2]D_Est_Org_Q8!I28</f>
        <v>5.7059899999999999</v>
      </c>
      <c r="J23" s="198">
        <f>+[2]D_Est_Org_Q8!J28</f>
        <v>32.378959999999999</v>
      </c>
      <c r="K23" s="198">
        <f>+[2]D_Est_Org_Q8!K28</f>
        <v>2.3696000000000002</v>
      </c>
      <c r="L23" s="198">
        <f>+[2]D_Est_Org_Q8!L28</f>
        <v>0.43480000000000002</v>
      </c>
      <c r="M23" s="198">
        <f>+[2]D_Est_Org_Q8!M28</f>
        <v>3.6054400000000002</v>
      </c>
      <c r="N23" s="198">
        <f>+[2]D_Est_Org_Q8!N28</f>
        <v>9.0988000000000007</v>
      </c>
      <c r="O23" s="198">
        <f>+[2]D_Est_Org_Q8!O28</f>
        <v>4.2120999999999995</v>
      </c>
      <c r="P23" s="198">
        <f>+[2]D_Est_Org_Q8!P28</f>
        <v>1062.9791300000002</v>
      </c>
    </row>
    <row r="24" spans="2:16" hidden="1">
      <c r="B24" s="195"/>
      <c r="C24" s="187">
        <v>0</v>
      </c>
      <c r="D24" s="198">
        <f>+[2]D_Est_Org_Q8!D29</f>
        <v>0</v>
      </c>
      <c r="E24" s="198">
        <f>+[2]D_Est_Org_Q8!E29</f>
        <v>0</v>
      </c>
      <c r="F24" s="198">
        <f>+[2]D_Est_Org_Q8!F29</f>
        <v>0</v>
      </c>
      <c r="G24" s="198">
        <f>+[2]D_Est_Org_Q8!G29</f>
        <v>0</v>
      </c>
      <c r="H24" s="198">
        <f>+[2]D_Est_Org_Q8!H29</f>
        <v>14.185</v>
      </c>
      <c r="I24" s="198">
        <f>+[2]D_Est_Org_Q8!I29</f>
        <v>0</v>
      </c>
      <c r="J24" s="198">
        <f>+[2]D_Est_Org_Q8!J29</f>
        <v>25.065000000000001</v>
      </c>
      <c r="K24" s="198">
        <f>+[2]D_Est_Org_Q8!K29</f>
        <v>0</v>
      </c>
      <c r="L24" s="198">
        <f>+[2]D_Est_Org_Q8!L29</f>
        <v>0</v>
      </c>
      <c r="M24" s="198">
        <f>+[2]D_Est_Org_Q8!M29</f>
        <v>0</v>
      </c>
      <c r="N24" s="198">
        <f>+[2]D_Est_Org_Q8!N29</f>
        <v>0</v>
      </c>
      <c r="O24" s="198">
        <f>+[2]D_Est_Org_Q8!O29</f>
        <v>0</v>
      </c>
      <c r="P24" s="198">
        <f>+[2]D_Est_Org_Q8!P29</f>
        <v>39.25</v>
      </c>
    </row>
    <row r="25" spans="2:16" ht="15" customHeight="1">
      <c r="B25" s="195"/>
      <c r="C25" s="104" t="str">
        <f>+IF(Índice!$D$2=1,"Subsídios","Subsidies")</f>
        <v>Subsidies</v>
      </c>
      <c r="D25" s="198">
        <f>+[2]D_Est_Org_Q8!D30</f>
        <v>0</v>
      </c>
      <c r="E25" s="198">
        <f>+[2]D_Est_Org_Q8!E30</f>
        <v>0</v>
      </c>
      <c r="F25" s="198">
        <f>+[2]D_Est_Org_Q8!F30</f>
        <v>0</v>
      </c>
      <c r="G25" s="198">
        <f>+[2]D_Est_Org_Q8!G30</f>
        <v>2645.1851799999995</v>
      </c>
      <c r="H25" s="198">
        <f>+[2]D_Est_Org_Q8!H30</f>
        <v>0</v>
      </c>
      <c r="I25" s="198">
        <f>+[2]D_Est_Org_Q8!I30</f>
        <v>0</v>
      </c>
      <c r="J25" s="198">
        <f>+[2]D_Est_Org_Q8!J30</f>
        <v>0</v>
      </c>
      <c r="K25" s="198">
        <f>+[2]D_Est_Org_Q8!K30</f>
        <v>0</v>
      </c>
      <c r="L25" s="198">
        <f>+[2]D_Est_Org_Q8!L30</f>
        <v>1793.92</v>
      </c>
      <c r="M25" s="198">
        <f>+[2]D_Est_Org_Q8!M30</f>
        <v>8.2967999999999993</v>
      </c>
      <c r="N25" s="198">
        <f>+[2]D_Est_Org_Q8!N30</f>
        <v>0</v>
      </c>
      <c r="O25" s="198">
        <f>+[2]D_Est_Org_Q8!O30</f>
        <v>0</v>
      </c>
      <c r="P25" s="198">
        <f>+[2]D_Est_Org_Q8!P30</f>
        <v>4447.4019799999996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f>+[2]D_Est_Org_Q8!D31</f>
        <v>0</v>
      </c>
      <c r="E26" s="198">
        <f>+[2]D_Est_Org_Q8!E31</f>
        <v>0</v>
      </c>
      <c r="F26" s="198">
        <f>+[2]D_Est_Org_Q8!F31</f>
        <v>5.5351399999999993</v>
      </c>
      <c r="G26" s="198">
        <f>+[2]D_Est_Org_Q8!G31</f>
        <v>1.4570000000000001</v>
      </c>
      <c r="H26" s="198">
        <f>+[2]D_Est_Org_Q8!H31</f>
        <v>57.516690000000004</v>
      </c>
      <c r="I26" s="198">
        <f>+[2]D_Est_Org_Q8!I31</f>
        <v>0.25</v>
      </c>
      <c r="J26" s="198">
        <f>+[2]D_Est_Org_Q8!J31</f>
        <v>0.55323999999999995</v>
      </c>
      <c r="K26" s="198">
        <f>+[2]D_Est_Org_Q8!K31</f>
        <v>0</v>
      </c>
      <c r="L26" s="198">
        <f>+[2]D_Est_Org_Q8!L31</f>
        <v>3.8111199999999998</v>
      </c>
      <c r="M26" s="198">
        <f>+[2]D_Est_Org_Q8!M31</f>
        <v>4.5984799999999995</v>
      </c>
      <c r="N26" s="198">
        <f>+[2]D_Est_Org_Q8!N31</f>
        <v>3.48163</v>
      </c>
      <c r="O26" s="198">
        <f>+[2]D_Est_Org_Q8!O31</f>
        <v>18.960650000000001</v>
      </c>
      <c r="P26" s="198">
        <f>+[2]D_Est_Org_Q8!P31</f>
        <v>96.16395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f>+[2]D_Est_Org_Q8!D32</f>
        <v>10</v>
      </c>
      <c r="E27" s="32">
        <f>+[2]D_Est_Org_Q8!E32</f>
        <v>0</v>
      </c>
      <c r="F27" s="32">
        <f>+[2]D_Est_Org_Q8!F32</f>
        <v>5.3479100000000006</v>
      </c>
      <c r="G27" s="32">
        <f>+[2]D_Est_Org_Q8!G32</f>
        <v>4311.9763400000002</v>
      </c>
      <c r="H27" s="32">
        <f>+[2]D_Est_Org_Q8!H32</f>
        <v>2114.9787699999997</v>
      </c>
      <c r="I27" s="32">
        <f>+[2]D_Est_Org_Q8!I32</f>
        <v>134.86419000000001</v>
      </c>
      <c r="J27" s="32">
        <f>+[2]D_Est_Org_Q8!J32</f>
        <v>169.25864999999999</v>
      </c>
      <c r="K27" s="32">
        <f>+[2]D_Est_Org_Q8!K32</f>
        <v>0</v>
      </c>
      <c r="L27" s="32">
        <f>+[2]D_Est_Org_Q8!L32</f>
        <v>1.3821199999999998</v>
      </c>
      <c r="M27" s="32">
        <f>+[2]D_Est_Org_Q8!M32</f>
        <v>161.73487</v>
      </c>
      <c r="N27" s="32">
        <f>+[2]D_Est_Org_Q8!N32</f>
        <v>874.01478000000009</v>
      </c>
      <c r="O27" s="32">
        <f>+[2]D_Est_Org_Q8!O32</f>
        <v>7195.0975199999984</v>
      </c>
      <c r="P27" s="32">
        <f>+[2]D_Est_Org_Q8!P32</f>
        <v>14978.655149999999</v>
      </c>
    </row>
    <row r="28" spans="2:16" ht="15" customHeight="1">
      <c r="B28" s="195"/>
      <c r="C28" s="104" t="str">
        <f>+IF(Índice!$D$2=1,"Investimento","Investment")</f>
        <v>Investment</v>
      </c>
      <c r="D28" s="198">
        <f>+[2]D_Est_Org_Q8!D33</f>
        <v>0</v>
      </c>
      <c r="E28" s="198">
        <f>+[2]D_Est_Org_Q8!E33</f>
        <v>0</v>
      </c>
      <c r="F28" s="198">
        <f>+[2]D_Est_Org_Q8!F33</f>
        <v>4.5101000000000004</v>
      </c>
      <c r="G28" s="198">
        <f>+[2]D_Est_Org_Q8!G33</f>
        <v>2.2923800000000001</v>
      </c>
      <c r="H28" s="198">
        <f>+[2]D_Est_Org_Q8!H33</f>
        <v>1280.1763399999998</v>
      </c>
      <c r="I28" s="198">
        <f>+[2]D_Est_Org_Q8!I33</f>
        <v>0</v>
      </c>
      <c r="J28" s="198">
        <f>+[2]D_Est_Org_Q8!J33</f>
        <v>129.50135999999998</v>
      </c>
      <c r="K28" s="198">
        <f>+[2]D_Est_Org_Q8!K33</f>
        <v>0</v>
      </c>
      <c r="L28" s="198">
        <f>+[2]D_Est_Org_Q8!L33</f>
        <v>1.3821199999999998</v>
      </c>
      <c r="M28" s="198">
        <f>+[2]D_Est_Org_Q8!M33</f>
        <v>0</v>
      </c>
      <c r="N28" s="198">
        <f>+[2]D_Est_Org_Q8!N33</f>
        <v>13.820780000000001</v>
      </c>
      <c r="O28" s="198">
        <f>+[2]D_Est_Org_Q8!O33</f>
        <v>6691.4661499999984</v>
      </c>
      <c r="P28" s="198">
        <f>+[2]D_Est_Org_Q8!P33</f>
        <v>8123.1492299999982</v>
      </c>
    </row>
    <row r="29" spans="2:16" ht="15" customHeight="1">
      <c r="C29" s="104" t="str">
        <f>+IF(Índice!$D$2=1,"Transferências capital","Capital transfers")</f>
        <v>Capital transfers</v>
      </c>
      <c r="D29" s="196">
        <f>+[2]D_Est_Org_Q8!D34</f>
        <v>10</v>
      </c>
      <c r="E29" s="196">
        <f>+[2]D_Est_Org_Q8!E34</f>
        <v>0</v>
      </c>
      <c r="F29" s="196">
        <f>+[2]D_Est_Org_Q8!F34</f>
        <v>0.83780999999999994</v>
      </c>
      <c r="G29" s="196">
        <f>+[2]D_Est_Org_Q8!G34</f>
        <v>4309.6839600000003</v>
      </c>
      <c r="H29" s="196">
        <f>+[2]D_Est_Org_Q8!H34</f>
        <v>834.80242999999996</v>
      </c>
      <c r="I29" s="196">
        <f>+[2]D_Est_Org_Q8!I34</f>
        <v>134.86419000000001</v>
      </c>
      <c r="J29" s="196">
        <f>+[2]D_Est_Org_Q8!J34</f>
        <v>39.757289999999998</v>
      </c>
      <c r="K29" s="196">
        <f>+[2]D_Est_Org_Q8!K34</f>
        <v>0</v>
      </c>
      <c r="L29" s="196">
        <f>+[2]D_Est_Org_Q8!L34</f>
        <v>0</v>
      </c>
      <c r="M29" s="196">
        <f>+[2]D_Est_Org_Q8!M34</f>
        <v>161.73487</v>
      </c>
      <c r="N29" s="196">
        <f>+[2]D_Est_Org_Q8!N34</f>
        <v>860.19400000000007</v>
      </c>
      <c r="O29" s="196">
        <f>+[2]D_Est_Org_Q8!O34</f>
        <v>503.63137</v>
      </c>
      <c r="P29" s="196">
        <f>+[2]D_Est_Org_Q8!P34</f>
        <v>6855.5059200000005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f>+[2]D_Est_Org_Q8!D35</f>
        <v>10</v>
      </c>
      <c r="E30" s="200">
        <f>+[2]D_Est_Org_Q8!E35</f>
        <v>0</v>
      </c>
      <c r="F30" s="200">
        <f>+[2]D_Est_Org_Q8!F35</f>
        <v>0.83780999999999994</v>
      </c>
      <c r="G30" s="200">
        <f>+[2]D_Est_Org_Q8!G35</f>
        <v>4309.6839600000003</v>
      </c>
      <c r="H30" s="200">
        <f>+[2]D_Est_Org_Q8!H35</f>
        <v>834.80242999999996</v>
      </c>
      <c r="I30" s="200">
        <f>+[2]D_Est_Org_Q8!I35</f>
        <v>134.86419000000001</v>
      </c>
      <c r="J30" s="200">
        <f>+[2]D_Est_Org_Q8!J35</f>
        <v>0</v>
      </c>
      <c r="K30" s="200">
        <f>+[2]D_Est_Org_Q8!K35</f>
        <v>0</v>
      </c>
      <c r="L30" s="200">
        <f>+[2]D_Est_Org_Q8!L35</f>
        <v>0</v>
      </c>
      <c r="M30" s="200">
        <f>+[2]D_Est_Org_Q8!M35</f>
        <v>161.73487</v>
      </c>
      <c r="N30" s="200">
        <f>+[2]D_Est_Org_Q8!N35</f>
        <v>860.19400000000007</v>
      </c>
      <c r="O30" s="200">
        <f>+[2]D_Est_Org_Q8!O35</f>
        <v>503.63137</v>
      </c>
      <c r="P30" s="200">
        <f>+[2]D_Est_Org_Q8!P35</f>
        <v>6815.748630000001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f>+[2]D_Est_Org_Q8!D36</f>
        <v>0</v>
      </c>
      <c r="E31" s="198">
        <f>+[2]D_Est_Org_Q8!E36</f>
        <v>0</v>
      </c>
      <c r="F31" s="198">
        <f>+[2]D_Est_Org_Q8!F36</f>
        <v>0</v>
      </c>
      <c r="G31" s="198">
        <f>+[2]D_Est_Org_Q8!G36</f>
        <v>0</v>
      </c>
      <c r="H31" s="198">
        <f>+[2]D_Est_Org_Q8!H36</f>
        <v>0</v>
      </c>
      <c r="I31" s="198">
        <f>+[2]D_Est_Org_Q8!I36</f>
        <v>0</v>
      </c>
      <c r="J31" s="198">
        <f>+[2]D_Est_Org_Q8!J36</f>
        <v>0</v>
      </c>
      <c r="K31" s="198">
        <f>+[2]D_Est_Org_Q8!K36</f>
        <v>0</v>
      </c>
      <c r="L31" s="198">
        <f>+[2]D_Est_Org_Q8!L36</f>
        <v>0</v>
      </c>
      <c r="M31" s="198">
        <f>+[2]D_Est_Org_Q8!M36</f>
        <v>161.73487</v>
      </c>
      <c r="N31" s="198">
        <f>+[2]D_Est_Org_Q8!N36</f>
        <v>858.36400000000003</v>
      </c>
      <c r="O31" s="198">
        <f>+[2]D_Est_Org_Q8!O36</f>
        <v>0</v>
      </c>
      <c r="P31" s="198">
        <f>+[2]D_Est_Org_Q8!P36</f>
        <v>1020.09887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f>+[2]D_Est_Org_Q8!D37</f>
        <v>10</v>
      </c>
      <c r="E32" s="198">
        <f>+[2]D_Est_Org_Q8!E37</f>
        <v>0</v>
      </c>
      <c r="F32" s="198">
        <f>+[2]D_Est_Org_Q8!F37</f>
        <v>0.83780999999999994</v>
      </c>
      <c r="G32" s="198">
        <f>+[2]D_Est_Org_Q8!G37</f>
        <v>4309.6839600000003</v>
      </c>
      <c r="H32" s="198">
        <f>+[2]D_Est_Org_Q8!H37</f>
        <v>755.55399999999997</v>
      </c>
      <c r="I32" s="198">
        <f>+[2]D_Est_Org_Q8!I37</f>
        <v>134.86419000000001</v>
      </c>
      <c r="J32" s="198">
        <f>+[2]D_Est_Org_Q8!J37</f>
        <v>0</v>
      </c>
      <c r="K32" s="198">
        <f>+[2]D_Est_Org_Q8!K37</f>
        <v>0</v>
      </c>
      <c r="L32" s="198">
        <f>+[2]D_Est_Org_Q8!L37</f>
        <v>0</v>
      </c>
      <c r="M32" s="198">
        <f>+[2]D_Est_Org_Q8!M37</f>
        <v>0</v>
      </c>
      <c r="N32" s="198">
        <f>+[2]D_Est_Org_Q8!N37</f>
        <v>1.83</v>
      </c>
      <c r="O32" s="198">
        <f>+[2]D_Est_Org_Q8!O37</f>
        <v>503.63137</v>
      </c>
      <c r="P32" s="198">
        <f>+[2]D_Est_Org_Q8!P37</f>
        <v>5716.4013300000006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f>+[2]D_Est_Org_Q8!D38</f>
        <v>0</v>
      </c>
      <c r="E33" s="198">
        <f>+[2]D_Est_Org_Q8!E38</f>
        <v>0</v>
      </c>
      <c r="F33" s="198">
        <f>+[2]D_Est_Org_Q8!F38</f>
        <v>0</v>
      </c>
      <c r="G33" s="198">
        <f>+[2]D_Est_Org_Q8!G38</f>
        <v>0</v>
      </c>
      <c r="H33" s="198">
        <f>+[2]D_Est_Org_Q8!H38</f>
        <v>79.248429999999999</v>
      </c>
      <c r="I33" s="198">
        <f>+[2]D_Est_Org_Q8!I38</f>
        <v>0</v>
      </c>
      <c r="J33" s="198">
        <f>+[2]D_Est_Org_Q8!J38</f>
        <v>0</v>
      </c>
      <c r="K33" s="198">
        <f>+[2]D_Est_Org_Q8!K38</f>
        <v>0</v>
      </c>
      <c r="L33" s="198">
        <f>+[2]D_Est_Org_Q8!L38</f>
        <v>0</v>
      </c>
      <c r="M33" s="198">
        <f>+[2]D_Est_Org_Q8!M38</f>
        <v>0</v>
      </c>
      <c r="N33" s="198">
        <f>+[2]D_Est_Org_Q8!N38</f>
        <v>0</v>
      </c>
      <c r="O33" s="198">
        <f>+[2]D_Est_Org_Q8!O38</f>
        <v>0</v>
      </c>
      <c r="P33" s="198">
        <f>+[2]D_Est_Org_Q8!P38</f>
        <v>79.248429999999999</v>
      </c>
    </row>
    <row r="34" spans="1:171" ht="15" customHeight="1">
      <c r="C34" s="201" t="str">
        <f>+IF(Índice!$D$2=1,"Segurança social","Social security")</f>
        <v>Social security</v>
      </c>
      <c r="D34" s="198">
        <f>+[2]D_Est_Org_Q8!D39</f>
        <v>0</v>
      </c>
      <c r="E34" s="198">
        <f>+[2]D_Est_Org_Q8!E39</f>
        <v>0</v>
      </c>
      <c r="F34" s="198">
        <f>+[2]D_Est_Org_Q8!F39</f>
        <v>0</v>
      </c>
      <c r="G34" s="198">
        <f>+[2]D_Est_Org_Q8!G39</f>
        <v>0</v>
      </c>
      <c r="H34" s="198">
        <f>+[2]D_Est_Org_Q8!H39</f>
        <v>0</v>
      </c>
      <c r="I34" s="198">
        <f>+[2]D_Est_Org_Q8!I39</f>
        <v>0</v>
      </c>
      <c r="J34" s="198">
        <f>+[2]D_Est_Org_Q8!J39</f>
        <v>0</v>
      </c>
      <c r="K34" s="198">
        <f>+[2]D_Est_Org_Q8!K39</f>
        <v>0</v>
      </c>
      <c r="L34" s="198">
        <f>+[2]D_Est_Org_Q8!L39</f>
        <v>0</v>
      </c>
      <c r="M34" s="198">
        <f>+[2]D_Est_Org_Q8!M39</f>
        <v>0</v>
      </c>
      <c r="N34" s="198">
        <f>+[2]D_Est_Org_Q8!N39</f>
        <v>0</v>
      </c>
      <c r="O34" s="198">
        <f>+[2]D_Est_Org_Q8!O39</f>
        <v>0</v>
      </c>
      <c r="P34" s="198">
        <f>+[2]D_Est_Org_Q8!P39</f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f>+[2]D_Est_Org_Q8!D40</f>
        <v>0</v>
      </c>
      <c r="E35" s="200">
        <f>+[2]D_Est_Org_Q8!E40</f>
        <v>0</v>
      </c>
      <c r="F35" s="200">
        <f>+[2]D_Est_Org_Q8!F40</f>
        <v>0</v>
      </c>
      <c r="G35" s="200">
        <f>+[2]D_Est_Org_Q8!G40</f>
        <v>0</v>
      </c>
      <c r="H35" s="200">
        <f>+[2]D_Est_Org_Q8!H40</f>
        <v>0</v>
      </c>
      <c r="I35" s="200">
        <f>+[2]D_Est_Org_Q8!I40</f>
        <v>0</v>
      </c>
      <c r="J35" s="200">
        <f>+[2]D_Est_Org_Q8!J40</f>
        <v>39.757289999999998</v>
      </c>
      <c r="K35" s="200">
        <f>+[2]D_Est_Org_Q8!K40</f>
        <v>0</v>
      </c>
      <c r="L35" s="200">
        <f>+[2]D_Est_Org_Q8!L40</f>
        <v>0</v>
      </c>
      <c r="M35" s="200">
        <f>+[2]D_Est_Org_Q8!M40</f>
        <v>0</v>
      </c>
      <c r="N35" s="200">
        <f>+[2]D_Est_Org_Q8!N40</f>
        <v>0</v>
      </c>
      <c r="O35" s="200">
        <f>+[2]D_Est_Org_Q8!O40</f>
        <v>0</v>
      </c>
      <c r="P35" s="200">
        <f>+[2]D_Est_Org_Q8!P40</f>
        <v>39.757289999999998</v>
      </c>
    </row>
    <row r="36" spans="1:171" ht="15" customHeight="1">
      <c r="C36" s="132" t="s">
        <v>29</v>
      </c>
      <c r="D36" s="203">
        <f>+[2]D_Est_Org_Q8!D46</f>
        <v>0</v>
      </c>
      <c r="E36" s="203">
        <f>+[2]D_Est_Org_Q8!E46</f>
        <v>0</v>
      </c>
      <c r="F36" s="203">
        <f>+[2]D_Est_Org_Q8!F46</f>
        <v>0</v>
      </c>
      <c r="G36" s="203">
        <f>+[2]D_Est_Org_Q8!G46</f>
        <v>0</v>
      </c>
      <c r="H36" s="203">
        <f>+[2]D_Est_Org_Q8!H46</f>
        <v>0</v>
      </c>
      <c r="I36" s="203">
        <f>+[2]D_Est_Org_Q8!I46</f>
        <v>0</v>
      </c>
      <c r="J36" s="203">
        <f>+[2]D_Est_Org_Q8!J46</f>
        <v>0</v>
      </c>
      <c r="K36" s="203">
        <f>+[2]D_Est_Org_Q8!K46</f>
        <v>0</v>
      </c>
      <c r="L36" s="203">
        <f>+[2]D_Est_Org_Q8!L46</f>
        <v>0</v>
      </c>
      <c r="M36" s="203">
        <f>+[2]D_Est_Org_Q8!M46</f>
        <v>0</v>
      </c>
      <c r="N36" s="203">
        <f>+[2]D_Est_Org_Q8!N46</f>
        <v>0</v>
      </c>
      <c r="O36" s="203">
        <f>+[2]D_Est_Org_Q8!O46</f>
        <v>0</v>
      </c>
      <c r="P36" s="203">
        <f>+[2]D_Est_Org_Q8!P46</f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f>+[2]D_Est_Org_Q8!D48</f>
        <v>1930</v>
      </c>
      <c r="E38" s="204">
        <f>+[2]D_Est_Org_Q8!E48</f>
        <v>296.13213999999999</v>
      </c>
      <c r="F38" s="204">
        <f>+[2]D_Est_Org_Q8!F48</f>
        <v>53457.960109999978</v>
      </c>
      <c r="G38" s="204">
        <f>+[2]D_Est_Org_Q8!G48</f>
        <v>8772.7479500000009</v>
      </c>
      <c r="H38" s="204">
        <f>+[2]D_Est_Org_Q8!H48</f>
        <v>29850.869619999998</v>
      </c>
      <c r="I38" s="204">
        <f>+[2]D_Est_Org_Q8!I48</f>
        <v>34993.072310000003</v>
      </c>
      <c r="J38" s="204">
        <f>+[2]D_Est_Org_Q8!J48</f>
        <v>2522.6142</v>
      </c>
      <c r="K38" s="204">
        <f>+[2]D_Est_Org_Q8!K48</f>
        <v>1903.9941299999998</v>
      </c>
      <c r="L38" s="204">
        <f>+[2]D_Est_Org_Q8!L48</f>
        <v>3936.4897100000003</v>
      </c>
      <c r="M38" s="204">
        <f>+[2]D_Est_Org_Q8!M48</f>
        <v>1129.0390300000004</v>
      </c>
      <c r="N38" s="204">
        <f>+[2]D_Est_Org_Q8!N48</f>
        <v>3932.8557800000008</v>
      </c>
      <c r="O38" s="204">
        <f>+[2]D_Est_Org_Q8!O48</f>
        <v>38139.926380000004</v>
      </c>
      <c r="P38" s="204">
        <f>+[2]D_Est_Org_Q8!P48</f>
        <v>180865.70136000001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f>+[2]D_Est_Org_Q8!D50</f>
        <v>0</v>
      </c>
      <c r="E40" s="208">
        <f>+[2]D_Est_Org_Q8!E50</f>
        <v>0</v>
      </c>
      <c r="F40" s="208">
        <f>+[2]D_Est_Org_Q8!F50</f>
        <v>0</v>
      </c>
      <c r="G40" s="208">
        <f>+[2]D_Est_Org_Q8!G50</f>
        <v>25.404040000000002</v>
      </c>
      <c r="H40" s="208">
        <f>+[2]D_Est_Org_Q8!H50</f>
        <v>0</v>
      </c>
      <c r="I40" s="208">
        <f>+[2]D_Est_Org_Q8!I50</f>
        <v>0</v>
      </c>
      <c r="J40" s="208">
        <f>+[2]D_Est_Org_Q8!J50</f>
        <v>0</v>
      </c>
      <c r="K40" s="208">
        <f>+[2]D_Est_Org_Q8!K50</f>
        <v>0</v>
      </c>
      <c r="L40" s="208">
        <f>+[2]D_Est_Org_Q8!L50</f>
        <v>0</v>
      </c>
      <c r="M40" s="208">
        <f>+[2]D_Est_Org_Q8!M50</f>
        <v>0</v>
      </c>
      <c r="N40" s="208">
        <f>+[2]D_Est_Org_Q8!N50</f>
        <v>0</v>
      </c>
      <c r="O40" s="208">
        <f>+[2]D_Est_Org_Q8!O50</f>
        <v>0</v>
      </c>
      <c r="P40" s="208">
        <f>+[2]D_Est_Org_Q8!P50</f>
        <v>25.404040000000002</v>
      </c>
    </row>
    <row r="41" spans="1:171">
      <c r="C41" s="209" t="str">
        <f>+IF(Índice!$D$2=1,"Passivos financeiros","Financial liabilities")</f>
        <v>Financial liabilities</v>
      </c>
      <c r="D41" s="200">
        <f>+[2]D_Est_Org_Q8!D51</f>
        <v>0</v>
      </c>
      <c r="E41" s="200">
        <f>+[2]D_Est_Org_Q8!E51</f>
        <v>0</v>
      </c>
      <c r="F41" s="200">
        <f>+[2]D_Est_Org_Q8!F51</f>
        <v>0</v>
      </c>
      <c r="G41" s="200">
        <f>+[2]D_Est_Org_Q8!G51</f>
        <v>0</v>
      </c>
      <c r="H41" s="200">
        <f>+[2]D_Est_Org_Q8!H51</f>
        <v>44649.332170000001</v>
      </c>
      <c r="I41" s="200">
        <f>+[2]D_Est_Org_Q8!I51</f>
        <v>0</v>
      </c>
      <c r="J41" s="200">
        <f>+[2]D_Est_Org_Q8!J51</f>
        <v>0</v>
      </c>
      <c r="K41" s="200">
        <f>+[2]D_Est_Org_Q8!K51</f>
        <v>0</v>
      </c>
      <c r="L41" s="200">
        <f>+[2]D_Est_Org_Q8!L51</f>
        <v>0</v>
      </c>
      <c r="M41" s="200">
        <f>+[2]D_Est_Org_Q8!M51</f>
        <v>0</v>
      </c>
      <c r="N41" s="200">
        <f>+[2]D_Est_Org_Q8!N51</f>
        <v>0</v>
      </c>
      <c r="O41" s="200">
        <f>+[2]D_Est_Org_Q8!O51</f>
        <v>0</v>
      </c>
      <c r="P41" s="200">
        <f>+[2]D_Est_Org_Q8!P51</f>
        <v>44649.332170000001</v>
      </c>
    </row>
    <row r="42" spans="1:171">
      <c r="C42" s="210" t="s">
        <v>25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f>+[2]D_Est_Org_Q8!D54</f>
        <v>0</v>
      </c>
      <c r="E44" s="213">
        <f>+[2]D_Est_Org_Q8!E54</f>
        <v>0</v>
      </c>
      <c r="F44" s="213">
        <f>+[2]D_Est_Org_Q8!F54</f>
        <v>0</v>
      </c>
      <c r="G44" s="213">
        <f>+[2]D_Est_Org_Q8!G54</f>
        <v>0</v>
      </c>
      <c r="H44" s="213">
        <f>+[2]D_Est_Org_Q8!H54</f>
        <v>0</v>
      </c>
      <c r="I44" s="213">
        <f>+[2]D_Est_Org_Q8!I54</f>
        <v>0</v>
      </c>
      <c r="J44" s="213">
        <f>+[2]D_Est_Org_Q8!J54</f>
        <v>0</v>
      </c>
      <c r="K44" s="213">
        <f>+[2]D_Est_Org_Q8!K54</f>
        <v>0</v>
      </c>
      <c r="L44" s="213">
        <f>+[2]D_Est_Org_Q8!L54</f>
        <v>0</v>
      </c>
      <c r="M44" s="213">
        <f>+[2]D_Est_Org_Q8!M54</f>
        <v>0</v>
      </c>
      <c r="N44" s="213">
        <f>+[2]D_Est_Org_Q8!N54</f>
        <v>0</v>
      </c>
      <c r="O44" s="213">
        <f>+[2]D_Est_Org_Q8!O54</f>
        <v>0</v>
      </c>
      <c r="P44" s="213">
        <f>+[2]D_Est_Org_Q8!P54</f>
        <v>19524.83726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9/2022/M, de 27 de janeiro","Note: Organic structure approved by Regional Legislative Decree nr. 18/2020/M of january 31st, in force under Article 19th of Regional Regulatory Decree nr. 9/2022/M of january 27th")</f>
        <v>Note: Organic structure approved by Regional Legislative Decree nr. 18/2020/M of january 31st, in force under Article 19th of Regional Regulatory Decree nr. 9/2022/M of january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4" t="str">
        <f>+IF(Índice!$D$2=1,"Fonte: Secretaria Regional das Finanças","Source: Regional Finance Secretariat")</f>
        <v>Source: Regional Finance Secretariat</v>
      </c>
      <c r="D47" s="334" t="str">
        <f>+IF(Índice!$D$2="PT","Fonte: Vice-Presidência do Governo Regional","Source: Vice-Presidency of the Regional Government")</f>
        <v>Source: Vice-Presidency of the Regional Government</v>
      </c>
      <c r="E47" s="334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B2" sqref="B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(janeiro-fevereiro)","TABLE IX - RPEs global balance (january-february)")</f>
        <v>TABLE IX - RPEs global balance (january-february)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f>+'[2]Saldo_Global EPR_Q9'!C5</f>
        <v>-2034.3566700000156</v>
      </c>
      <c r="E5" s="82">
        <f>+'[2]Saldo_Global EPR_Q9'!D5</f>
        <v>108.19256999997015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Source: Regional Finance Secretariat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(janeiro-fevereiro)","TABLE X - ASFs and RPEs budget execution (january-february)")</f>
        <v>TABLE X - ASFs and RPEs budget execution (january-february)</v>
      </c>
      <c r="D2" s="336"/>
      <c r="E2" s="336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24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f>+'[2]SFA acumulado_Q10_11'!D84</f>
        <v>9164.2984300000171</v>
      </c>
      <c r="E4" s="98">
        <f>+'[2]SFA acumulado_Q10_11'!E84</f>
        <v>108.19256999997015</v>
      </c>
      <c r="F4" s="98">
        <f>+'[2]SFA acumulado_Q10_11'!F84</f>
        <v>9272.4909999999873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f>+'[2]SFA acumulado_Q10_11'!D87</f>
        <v>59537.75009999999</v>
      </c>
      <c r="E7" s="74">
        <f>+'[2]SFA acumulado_Q10_11'!E87</f>
        <v>41183.910320000025</v>
      </c>
      <c r="F7" s="74">
        <f>+'[2]SFA acumulado_Q10_11'!F87</f>
        <v>100721.66042000001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f>+'[2]SFA acumulado_Q10_11'!D88</f>
        <v>9165.2560700000176</v>
      </c>
      <c r="E8" s="74">
        <f>+'[2]SFA acumulado_Q10_11'!E88</f>
        <v>179.69185999997018</v>
      </c>
      <c r="F8" s="74">
        <f>+'[2]SFA acumulado_Q10_11'!F88</f>
        <v>9344.9479299999875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f>+'[2]SFA acumulado_Q10_11'!D89</f>
        <v>7471.9242300000187</v>
      </c>
      <c r="E9" s="74">
        <f>+'[2]SFA acumulado_Q10_11'!E89</f>
        <v>134.89576999997371</v>
      </c>
      <c r="F9" s="74">
        <f>+'[2]SFA acumulado_Q10_11'!F89</f>
        <v>7606.820000000007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f>+'[2]SFA acumulado_Q10_11'!D90</f>
        <v>1692.3741999999993</v>
      </c>
      <c r="E10" s="74">
        <f>+'[2]SFA acumulado_Q10_11'!E90</f>
        <v>-26.703200000000265</v>
      </c>
      <c r="F10" s="74">
        <f>+'[2]SFA acumulado_Q10_11'!F90</f>
        <v>1665.6709999999994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Source: Regional Finance Secretariat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(janeiro-fevereiro)","TABLE XI - ASFs and RPEs budget execution (january-february)")</f>
        <v>TABLE XI - ASFs and RPEs budget execution (january-february)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f>+'[2]SFA acumulado_Q10_11'!D7</f>
        <v>61850.507890000008</v>
      </c>
      <c r="E4" s="108">
        <f>+'[2]SFA acumulado_Q10_11'!E7</f>
        <v>40414.840489999995</v>
      </c>
      <c r="F4" s="108">
        <f>+'[2]SFA acumulado_Q10_11'!F7</f>
        <v>102265.34838000001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f>+'[2]SFA acumulado_Q10_11'!D8</f>
        <v>0</v>
      </c>
      <c r="E5" s="74">
        <f>+'[2]SFA acumulado_Q10_11'!E8</f>
        <v>0</v>
      </c>
      <c r="F5" s="74">
        <f>+'[2]SFA acumulado_Q10_11'!F8</f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f>+'[2]SFA acumulado_Q10_11'!D9</f>
        <v>0</v>
      </c>
      <c r="E6" s="74">
        <f>+'[2]SFA acumulado_Q10_11'!E9</f>
        <v>0</v>
      </c>
      <c r="F6" s="74">
        <f>+'[2]SFA acumulado_Q10_11'!F9</f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f>+'[2]SFA acumulado_Q10_11'!D10</f>
        <v>0</v>
      </c>
      <c r="E7" s="74">
        <f>+'[2]SFA acumulado_Q10_11'!E10</f>
        <v>0</v>
      </c>
      <c r="F7" s="74">
        <f>+'[2]SFA acumulado_Q10_11'!F10</f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f>+'[2]SFA acumulado_Q10_11'!D11</f>
        <v>660.37840000000028</v>
      </c>
      <c r="E8" s="74">
        <f>+'[2]SFA acumulado_Q10_11'!E11</f>
        <v>1301.31666</v>
      </c>
      <c r="F8" s="74">
        <f>+'[2]SFA acumulado_Q10_11'!F11</f>
        <v>1961.6950600000002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f>+'[2]SFA acumulado_Q10_11'!D12</f>
        <v>60613.253730000004</v>
      </c>
      <c r="E9" s="74">
        <f>+'[2]SFA acumulado_Q10_11'!E12</f>
        <v>34875.862099999998</v>
      </c>
      <c r="F9" s="74">
        <f>+'[2]SFA acumulado_Q10_11'!F12</f>
        <v>95489.115829999995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f>+'[2]SFA acumulado_Q10_11'!D13</f>
        <v>5061.6734800000013</v>
      </c>
      <c r="E10" s="74">
        <f>+'[2]SFA acumulado_Q10_11'!E13</f>
        <v>367.17525000000006</v>
      </c>
      <c r="F10" s="74">
        <f>+'[2]SFA acumulado_Q10_11'!F13</f>
        <v>5428.8487300000015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f>+'[2]SFA acumulado_Q10_11'!D14</f>
        <v>55257.014710000003</v>
      </c>
      <c r="E11" s="74">
        <f>+'[2]SFA acumulado_Q10_11'!E14</f>
        <v>34387.778679999996</v>
      </c>
      <c r="F11" s="74">
        <f>+'[2]SFA acumulado_Q10_11'!F14</f>
        <v>89644.793390000006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f>+'[2]SFA acumulado_Q10_11'!D15</f>
        <v>498.65716000000003</v>
      </c>
      <c r="E12" s="74">
        <f>+'[2]SFA acumulado_Q10_11'!E15</f>
        <v>1755.45353</v>
      </c>
      <c r="F12" s="74">
        <f>+'[2]SFA acumulado_Q10_11'!F15</f>
        <v>2254.11069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f>+'[2]SFA acumulado_Q10_11'!D16</f>
        <v>78.218599999999995</v>
      </c>
      <c r="E13" s="74">
        <f>+'[2]SFA acumulado_Q10_11'!E16</f>
        <v>2482.2082</v>
      </c>
      <c r="F13" s="74">
        <f>+'[2]SFA acumulado_Q10_11'!F16</f>
        <v>2560.4268000000002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f>+'[2]SFA acumulado_Q10_11'!D17</f>
        <v>6852.4982799999998</v>
      </c>
      <c r="E14" s="83">
        <f>+'[2]SFA acumulado_Q10_11'!E17</f>
        <v>948.76168999999993</v>
      </c>
      <c r="F14" s="83">
        <f>+'[2]SFA acumulado_Q10_11'!F17</f>
        <v>7801.2599700000001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f>+'[2]SFA acumulado_Q10_11'!D18</f>
        <v>0</v>
      </c>
      <c r="E15" s="34">
        <f>+'[2]SFA acumulado_Q10_11'!E18</f>
        <v>1.27603</v>
      </c>
      <c r="F15" s="34">
        <f>+'[2]SFA acumulado_Q10_11'!F18</f>
        <v>1.27603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f>+'[2]SFA acumulado_Q10_11'!D19</f>
        <v>6838.7145700000001</v>
      </c>
      <c r="E16" s="34">
        <f>+'[2]SFA acumulado_Q10_11'!E19</f>
        <v>931.06898999999999</v>
      </c>
      <c r="F16" s="74">
        <f>+'[2]SFA acumulado_Q10_11'!F19</f>
        <v>7769.7835599999999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f>+'[2]SFA acumulado_Q10_11'!D20</f>
        <v>1781.3047999999999</v>
      </c>
      <c r="E17" s="34">
        <f>+'[2]SFA acumulado_Q10_11'!E20</f>
        <v>207.73338000000001</v>
      </c>
      <c r="F17" s="74">
        <f>+'[2]SFA acumulado_Q10_11'!F20</f>
        <v>1989.03818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f>+'[2]SFA acumulado_Q10_11'!D21</f>
        <v>5057.4097700000002</v>
      </c>
      <c r="E18" s="74">
        <f>+'[2]SFA acumulado_Q10_11'!E21</f>
        <v>723.33560999999997</v>
      </c>
      <c r="F18" s="74">
        <f>+'[2]SFA acumulado_Q10_11'!F21</f>
        <v>5780.7453800000003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f>+'[2]SFA acumulado_Q10_11'!D22</f>
        <v>0</v>
      </c>
      <c r="E19" s="74">
        <f>+'[2]SFA acumulado_Q10_11'!E22</f>
        <v>8.0954599999999992</v>
      </c>
      <c r="F19" s="74">
        <f>+'[2]SFA acumulado_Q10_11'!F22</f>
        <v>8.0954599999999992</v>
      </c>
    </row>
    <row r="20" spans="2:6" ht="11.25" customHeight="1">
      <c r="C20" s="110" t="str">
        <f>+IF(Índice!$D$2=1,"Receita efetiva","Effective revenue")</f>
        <v>Effective revenue</v>
      </c>
      <c r="D20" s="83">
        <f>+'[2]SFA acumulado_Q10_11'!D32</f>
        <v>68703.006170000008</v>
      </c>
      <c r="E20" s="83">
        <f>+'[2]SFA acumulado_Q10_11'!E32</f>
        <v>41363.602179999994</v>
      </c>
      <c r="F20" s="83">
        <f>+'[2]SFA acumulado_Q10_11'!F32</f>
        <v>110066.60834999999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f>+'[2]SFA acumulado_Q10_11'!D34</f>
        <v>54378.583659999989</v>
      </c>
      <c r="E22" s="83">
        <f>+'[2]SFA acumulado_Q10_11'!E34</f>
        <v>40279.944720000021</v>
      </c>
      <c r="F22" s="83">
        <f>+'[2]SFA acumulado_Q10_11'!F34</f>
        <v>94658.528380000003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f>+'[2]SFA acumulado_Q10_11'!D35</f>
        <v>6824.8195799999985</v>
      </c>
      <c r="E23" s="74">
        <f>+'[2]SFA acumulado_Q10_11'!E35</f>
        <v>34754.317450000017</v>
      </c>
      <c r="F23" s="74">
        <f>+'[2]SFA acumulado_Q10_11'!F35</f>
        <v>41579.137030000013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f>+'[2]SFA acumulado_Q10_11'!D36</f>
        <v>9796.1820600000028</v>
      </c>
      <c r="E24" s="74">
        <f>+'[2]SFA acumulado_Q10_11'!E36</f>
        <v>3261.25153</v>
      </c>
      <c r="F24" s="74">
        <f>+'[2]SFA acumulado_Q10_11'!F36</f>
        <v>13057.433590000002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f>+'[2]SFA acumulado_Q10_11'!D37</f>
        <v>0.95764000000000005</v>
      </c>
      <c r="E25" s="74">
        <f>+'[2]SFA acumulado_Q10_11'!E37</f>
        <v>71.499290000000016</v>
      </c>
      <c r="F25" s="74">
        <f>+'[2]SFA acumulado_Q10_11'!F37</f>
        <v>72.456930000000014</v>
      </c>
    </row>
    <row r="26" spans="2:6" ht="11.25" customHeight="1">
      <c r="C26" s="104" t="str">
        <f>+IF(Índice!$D$2=1,"Transferências correntes","Current transfers")</f>
        <v>Current transfers</v>
      </c>
      <c r="D26" s="74">
        <f>+'[2]SFA acumulado_Q10_11'!D38</f>
        <v>37024.267479999988</v>
      </c>
      <c r="E26" s="74">
        <f>+'[2]SFA acumulado_Q10_11'!E38</f>
        <v>2057.2826500000001</v>
      </c>
      <c r="F26" s="74">
        <f>+'[2]SFA acumulado_Q10_11'!F38</f>
        <v>39081.550129999989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f>+'[2]SFA acumulado_Q10_11'!D39</f>
        <v>296.00664999999998</v>
      </c>
      <c r="E27" s="74">
        <f>+'[2]SFA acumulado_Q10_11'!E39</f>
        <v>0</v>
      </c>
      <c r="F27" s="59">
        <f>+'[2]SFA acumulado_Q10_11'!F39</f>
        <v>296.00664999999998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f>+'[2]SFA acumulado_Q10_11'!D40</f>
        <v>36728.260829999985</v>
      </c>
      <c r="E28" s="74">
        <f>+'[2]SFA acumulado_Q10_11'!E40</f>
        <v>2057.2826500000001</v>
      </c>
      <c r="F28" s="59">
        <f>+'[2]SFA acumulado_Q10_11'!F40</f>
        <v>38785.543479999986</v>
      </c>
    </row>
    <row r="29" spans="2:6" ht="11.25" customHeight="1">
      <c r="C29" s="104" t="str">
        <f>+IF(Índice!$D$2=1,"Subsídios","Subsidies")</f>
        <v>Subsidies</v>
      </c>
      <c r="D29" s="74">
        <f>+'[2]SFA acumulado_Q10_11'!D41</f>
        <v>706.27884999999992</v>
      </c>
      <c r="E29" s="74">
        <f>+'[2]SFA acumulado_Q10_11'!E41</f>
        <v>0</v>
      </c>
      <c r="F29" s="74">
        <f>+'[2]SFA acumulado_Q10_11'!F41</f>
        <v>706.27884999999992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f>+'[2]SFA acumulado_Q10_11'!D42</f>
        <v>26.078049999999998</v>
      </c>
      <c r="E30" s="74">
        <f>+'[2]SFA acumulado_Q10_11'!E42</f>
        <v>135.59379999999999</v>
      </c>
      <c r="F30" s="74">
        <f>+'[2]SFA acumulado_Q10_11'!F42</f>
        <v>161.67184999999998</v>
      </c>
    </row>
    <row r="31" spans="2:6" ht="11.25" customHeight="1">
      <c r="C31" s="110" t="str">
        <f>+IF(Índice!$D$2=1,"Despesa de capital","Capital expenditure")</f>
        <v>Capital expenditure</v>
      </c>
      <c r="D31" s="83">
        <f>+'[2]SFA acumulado_Q10_11'!D43</f>
        <v>5160.1240800000005</v>
      </c>
      <c r="E31" s="83">
        <f>+'[2]SFA acumulado_Q10_11'!E43</f>
        <v>975.4648900000002</v>
      </c>
      <c r="F31" s="83">
        <f>+'[2]SFA acumulado_Q10_11'!F43</f>
        <v>6135.5889700000007</v>
      </c>
    </row>
    <row r="32" spans="2:6" ht="11.25" customHeight="1">
      <c r="C32" s="104" t="str">
        <f>+IF(Índice!$D$2=1,"Investimento","Investment")</f>
        <v>Investment</v>
      </c>
      <c r="D32" s="74">
        <f>+'[2]SFA acumulado_Q10_11'!D44</f>
        <v>11.81376</v>
      </c>
      <c r="E32" s="74">
        <f>+'[2]SFA acumulado_Q10_11'!E44</f>
        <v>975.4648900000002</v>
      </c>
      <c r="F32" s="74">
        <f>+'[2]SFA acumulado_Q10_11'!F44</f>
        <v>987.2786500000002</v>
      </c>
    </row>
    <row r="33" spans="3:6" ht="11.25" customHeight="1">
      <c r="C33" s="104" t="str">
        <f>+IF(Índice!$D$2=1,"Transferências capital","Capital transfers")</f>
        <v>Capital transfers</v>
      </c>
      <c r="D33" s="74">
        <f>+'[2]SFA acumulado_Q10_11'!D45</f>
        <v>5148.3103200000005</v>
      </c>
      <c r="E33" s="74">
        <f>+'[2]SFA acumulado_Q10_11'!E45</f>
        <v>0</v>
      </c>
      <c r="F33" s="74">
        <f>+'[2]SFA acumulado_Q10_11'!F45</f>
        <v>5148.3103200000005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f>+'[2]SFA acumulado_Q10_11'!D46</f>
        <v>0</v>
      </c>
      <c r="E34" s="59">
        <f>+'[2]SFA acumulado_Q10_11'!E46</f>
        <v>0</v>
      </c>
      <c r="F34" s="59">
        <f>+'[2]SFA acumulado_Q10_11'!F46</f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f>+'[2]SFA acumulado_Q10_11'!D48</f>
        <v>59538.707739999991</v>
      </c>
      <c r="E36" s="83">
        <f>+'[2]SFA acumulado_Q10_11'!E48</f>
        <v>41255.409610000024</v>
      </c>
      <c r="F36" s="83">
        <f>+'[2]SFA acumulado_Q10_11'!F48</f>
        <v>100794.11735000001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f>+'[2]SFA acumulado_Q10_11'!D50</f>
        <v>1272.82206</v>
      </c>
      <c r="E38" s="35">
        <f>+'[2]SFA acumulado_Q10_11'!E50</f>
        <v>2.1028500000000001</v>
      </c>
      <c r="F38" s="35">
        <f>+'[2]SFA acumulado_Q10_11'!F50</f>
        <v>1274.92491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f>+'[2]SFA acumulado_Q10_11'!D51</f>
        <v>0</v>
      </c>
      <c r="E39" s="35">
        <f>+'[2]SFA acumulado_Q10_11'!E51</f>
        <v>123.91357000000001</v>
      </c>
      <c r="F39" s="35">
        <f>+'[2]SFA acumulado_Q10_11'!F51</f>
        <v>123.91357000000001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f>+'[2]SFA acumulado_Q10_11'!D52</f>
        <v>0</v>
      </c>
      <c r="E40" s="35">
        <f>+'[2]SFA acumulado_Q10_11'!E52</f>
        <v>0</v>
      </c>
      <c r="F40" s="35">
        <f>+'[2]SFA acumulado_Q10_11'!F52</f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f>+'[2]SFA acumulado_Q10_11'!D56</f>
        <v>9164.2984300000171</v>
      </c>
      <c r="E44" s="114">
        <f>+'[2]SFA acumulado_Q10_11'!E56</f>
        <v>108.19256999997015</v>
      </c>
      <c r="F44" s="114">
        <f>+'[2]SFA acumulado_Q10_11'!F56</f>
        <v>9272.4909999999873</v>
      </c>
    </row>
    <row r="45" spans="3:6" ht="15" customHeight="1">
      <c r="C45" s="334" t="str">
        <f>+IF(Índice!$D$2=1,"Fonte: Secretaria Regional das Finanças","Source: Regional Finance Secretariat")</f>
        <v>Source: Regional Finance Secretariat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5"/>
  </cols>
  <sheetData>
    <row r="1" spans="2:8">
      <c r="C1" s="305"/>
    </row>
    <row r="2" spans="2:8" ht="12.75">
      <c r="B2" s="16"/>
      <c r="C2" s="306" t="str">
        <f>+IF(Índice!$D$2=1,"QUADRO XII - Execução orçamental dos Serviços e Fundos Autónomos e EPR (fevereiro)","TABLE XII - ASFs and RPEs budget execution (february)")</f>
        <v>TABLE XII - ASFs and RPEs budget execution (february)</v>
      </c>
      <c r="D2" s="307"/>
      <c r="E2" s="307"/>
      <c r="F2" s="308" t="str">
        <f>+IF(Índice!$D$2=1,"€ Milhares","€ Thousands")</f>
        <v>€ Thousands</v>
      </c>
      <c r="H2" s="292" t="str">
        <f>+IF(Índice!$D$2=1,"índice","Index")</f>
        <v>Index</v>
      </c>
    </row>
    <row r="3" spans="2:8" ht="12.75">
      <c r="B3"/>
      <c r="C3" s="309"/>
      <c r="D3" s="310" t="str">
        <f>+IF(Índice!$D$2=1,"fevereiro 2023","february 2023")</f>
        <v>february 2023</v>
      </c>
      <c r="E3" s="311"/>
      <c r="F3" s="312"/>
      <c r="H3" s="313"/>
    </row>
    <row r="4" spans="2:8" ht="35.1" customHeight="1">
      <c r="C4" s="106"/>
      <c r="D4" s="314" t="str">
        <f>+IF(Índice!$D$2=1,"SFA execução mensal","ASF monthly execution")</f>
        <v>ASF monthly execution</v>
      </c>
      <c r="E4" s="315" t="str">
        <f>+IF(Índice!$D$2=1,"EPR execução mensal","RPE monthly execution")</f>
        <v>RPE monthly execution</v>
      </c>
      <c r="F4" s="316" t="str">
        <f>+IF(Índice!$D$2=1,"Total","Total")</f>
        <v>Total</v>
      </c>
    </row>
    <row r="5" spans="2:8" ht="12" customHeight="1">
      <c r="C5" s="317" t="str">
        <f>+IF(Índice!$D$2=1,"Receita corrente","Current revenue")</f>
        <v>Current revenue</v>
      </c>
      <c r="D5" s="318">
        <f>+'[2]SFA+EPR mensal-acumulado_Q12'!D6</f>
        <v>36484.657330000009</v>
      </c>
      <c r="E5" s="318">
        <f>+'[2]SFA+EPR mensal-acumulado_Q12'!E6</f>
        <v>24396.755210000003</v>
      </c>
      <c r="F5" s="318">
        <f>+'[2]SFA+EPR mensal-acumulado_Q12'!F6</f>
        <v>60881.412540000012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f>+'[2]SFA+EPR mensal-acumulado_Q12'!D7</f>
        <v>0</v>
      </c>
      <c r="E6" s="74">
        <f>+'[2]SFA+EPR mensal-acumulado_Q12'!E7</f>
        <v>0</v>
      </c>
      <c r="F6" s="74">
        <f>+'[2]SFA+EPR mensal-acumulado_Q12'!F7</f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f>+'[2]SFA+EPR mensal-acumulado_Q12'!D8</f>
        <v>0</v>
      </c>
      <c r="E7" s="74">
        <f>+'[2]SFA+EPR mensal-acumulado_Q12'!E8</f>
        <v>0</v>
      </c>
      <c r="F7" s="74">
        <f>+'[2]SFA+EPR mensal-acumulado_Q12'!F8</f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f>+'[2]SFA+EPR mensal-acumulado_Q12'!D9</f>
        <v>0</v>
      </c>
      <c r="E8" s="74">
        <f>+'[2]SFA+EPR mensal-acumulado_Q12'!E9</f>
        <v>0</v>
      </c>
      <c r="F8" s="74">
        <f>+'[2]SFA+EPR mensal-acumulado_Q12'!F9</f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f>+'[2]SFA+EPR mensal-acumulado_Q12'!D10</f>
        <v>36484.657330000009</v>
      </c>
      <c r="E9" s="74">
        <f>+'[2]SFA+EPR mensal-acumulado_Q12'!E10</f>
        <v>24396.755210000003</v>
      </c>
      <c r="F9" s="74">
        <f>+'[2]SFA+EPR mensal-acumulado_Q12'!F10</f>
        <v>60881.412540000012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f>+'[2]SFA+EPR mensal-acumulado_Q12'!D11</f>
        <v>35961.101570000006</v>
      </c>
      <c r="E10" s="74">
        <f>+'[2]SFA+EPR mensal-acumulado_Q12'!E11</f>
        <v>21808.190460000002</v>
      </c>
      <c r="F10" s="74">
        <f>+'[2]SFA+EPR mensal-acumulado_Q12'!F11</f>
        <v>57769.292030000011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f>+'[2]SFA+EPR mensal-acumulado_Q12'!D12</f>
        <v>6295.7646100000002</v>
      </c>
      <c r="E11" s="83">
        <f>+'[2]SFA+EPR mensal-acumulado_Q12'!E12</f>
        <v>-3692.5283399999985</v>
      </c>
      <c r="F11" s="83">
        <f>+'[2]SFA+EPR mensal-acumulado_Q12'!F12</f>
        <v>2603.2362700000017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f>+'[2]SFA+EPR mensal-acumulado_Q12'!D13</f>
        <v>0</v>
      </c>
      <c r="E12" s="34">
        <f>+'[2]SFA+EPR mensal-acumulado_Q12'!E13</f>
        <v>0.83589000000000002</v>
      </c>
      <c r="F12" s="34">
        <f>+'[2]SFA+EPR mensal-acumulado_Q12'!F13</f>
        <v>0.83589000000000002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f>+'[2]SFA+EPR mensal-acumulado_Q12'!D14</f>
        <v>6292.9299099999998</v>
      </c>
      <c r="E13" s="34">
        <f>+'[2]SFA+EPR mensal-acumulado_Q12'!E14</f>
        <v>-3696.7798199999984</v>
      </c>
      <c r="F13" s="74">
        <f>+'[2]SFA+EPR mensal-acumulado_Q12'!F14</f>
        <v>2596.1500900000015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f>+'[2]SFA+EPR mensal-acumulado_Q12'!D16</f>
        <v>42780.421940000007</v>
      </c>
      <c r="E15" s="83">
        <f>+'[2]SFA+EPR mensal-acumulado_Q12'!E16</f>
        <v>20704.226870000006</v>
      </c>
      <c r="F15" s="83">
        <f>+'[2]SFA+EPR mensal-acumulado_Q12'!F16</f>
        <v>63484.648810000013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f>+'[2]SFA+EPR mensal-acumulado_Q12'!D17</f>
        <v>31357.490939999985</v>
      </c>
      <c r="E17" s="83">
        <f>+'[2]SFA+EPR mensal-acumulado_Q12'!E17</f>
        <v>20938.159310000014</v>
      </c>
      <c r="F17" s="83">
        <f>+'[2]SFA+EPR mensal-acumulado_Q12'!F17</f>
        <v>52295.650249999999</v>
      </c>
    </row>
    <row r="18" spans="3:6" ht="11.25" customHeight="1">
      <c r="C18" s="104" t="str">
        <f>+IF(Índice!$D$2=1,"Consumo público","Public consumption")</f>
        <v>Public consumption</v>
      </c>
      <c r="D18" s="74">
        <f>+'[2]SFA+EPR mensal-acumulado_Q12'!D18</f>
        <v>9238.966699999999</v>
      </c>
      <c r="E18" s="74">
        <f>+'[2]SFA+EPR mensal-acumulado_Q12'!E18</f>
        <v>19875.188390000014</v>
      </c>
      <c r="F18" s="74">
        <f>+'[2]SFA+EPR mensal-acumulado_Q12'!F18</f>
        <v>29114.155090000015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f>+'[2]SFA+EPR mensal-acumulado_Q12'!D19</f>
        <v>3489.1385699999964</v>
      </c>
      <c r="E19" s="74">
        <f>+'[2]SFA+EPR mensal-acumulado_Q12'!E19</f>
        <v>17403.296830000014</v>
      </c>
      <c r="F19" s="74">
        <f>+'[2]SFA+EPR mensal-acumulado_Q12'!F19</f>
        <v>20892.435400000009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f>+'[2]SFA+EPR mensal-acumulado_Q12'!D20</f>
        <v>5749.8281300000017</v>
      </c>
      <c r="E20" s="74">
        <f>+'[2]SFA+EPR mensal-acumulado_Q12'!E20</f>
        <v>2471.89156</v>
      </c>
      <c r="F20" s="74">
        <f>+'[2]SFA+EPR mensal-acumulado_Q12'!F20</f>
        <v>8221.7196900000017</v>
      </c>
    </row>
    <row r="21" spans="3:6" ht="11.25" customHeight="1">
      <c r="C21" s="104" t="str">
        <f>+IF(Índice!$D$2=1,"Subsídios","Subsidies")</f>
        <v>Subsidies</v>
      </c>
      <c r="D21" s="74">
        <f>+'[2]SFA+EPR mensal-acumulado_Q12'!D21</f>
        <v>415.62532999999996</v>
      </c>
      <c r="E21" s="74">
        <f>+'[2]SFA+EPR mensal-acumulado_Q12'!E21</f>
        <v>0</v>
      </c>
      <c r="F21" s="74">
        <f>+'[2]SFA+EPR mensal-acumulado_Q12'!F21</f>
        <v>415.62532999999996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f>+'[2]SFA+EPR mensal-acumulado_Q12'!D22</f>
        <v>0.94025000000000014</v>
      </c>
      <c r="E22" s="74">
        <f>+'[2]SFA+EPR mensal-acumulado_Q12'!E22</f>
        <v>20.568240000000021</v>
      </c>
      <c r="F22" s="59">
        <f>+'[2]SFA+EPR mensal-acumulado_Q12'!F22</f>
        <v>21.50849000000002</v>
      </c>
    </row>
    <row r="23" spans="3:6" ht="11.25" customHeight="1">
      <c r="C23" s="109" t="str">
        <f>+IF(Índice!$D$2=1,"Transferências correntes","Current transfers")</f>
        <v>Current transfers</v>
      </c>
      <c r="D23" s="74">
        <f>+'[2]SFA+EPR mensal-acumulado_Q12'!D23</f>
        <v>21701.958659999989</v>
      </c>
      <c r="E23" s="74">
        <f>+'[2]SFA+EPR mensal-acumulado_Q12'!E23</f>
        <v>1042.4026799999999</v>
      </c>
      <c r="F23" s="59">
        <f>+'[2]SFA+EPR mensal-acumulado_Q12'!F23</f>
        <v>22744.361339999989</v>
      </c>
    </row>
    <row r="24" spans="3:6" ht="11.25" customHeight="1">
      <c r="C24" s="110" t="str">
        <f>+IF(Índice!$D$2=1,"Despesa de capital","Capital expenditure")</f>
        <v>Capital expenditure</v>
      </c>
      <c r="D24" s="83">
        <f>+'[2]SFA+EPR mensal-acumulado_Q12'!D24</f>
        <v>5157.3688800000009</v>
      </c>
      <c r="E24" s="83">
        <f>+'[2]SFA+EPR mensal-acumulado_Q12'!E24</f>
        <v>783.35975000000019</v>
      </c>
      <c r="F24" s="83">
        <f>+'[2]SFA+EPR mensal-acumulado_Q12'!F24</f>
        <v>5940.7286300000014</v>
      </c>
    </row>
    <row r="25" spans="3:6" ht="11.25" customHeight="1">
      <c r="C25" s="104" t="str">
        <f>+IF(Índice!$D$2=1,"Investimento","Investment")</f>
        <v>Investment</v>
      </c>
      <c r="D25" s="74">
        <f>+'[2]SFA+EPR mensal-acumulado_Q12'!D25</f>
        <v>9.0585599999999999</v>
      </c>
      <c r="E25" s="74">
        <f>+'[2]SFA+EPR mensal-acumulado_Q12'!E25</f>
        <v>783.35975000000019</v>
      </c>
      <c r="F25" s="74">
        <f>+'[2]SFA+EPR mensal-acumulado_Q12'!F25</f>
        <v>792.41831000000025</v>
      </c>
    </row>
    <row r="26" spans="3:6" ht="11.25" customHeight="1">
      <c r="C26" s="104" t="str">
        <f>+IF(Índice!$D$2=1,"Transferências capital","Capital transfers")</f>
        <v>Capital transfers</v>
      </c>
      <c r="D26" s="74">
        <f>+'[2]SFA+EPR mensal-acumulado_Q12'!D26</f>
        <v>5148.3103200000005</v>
      </c>
      <c r="E26" s="74">
        <f>+'[2]SFA+EPR mensal-acumulado_Q12'!E26</f>
        <v>0</v>
      </c>
      <c r="F26" s="74">
        <f>+'[2]SFA+EPR mensal-acumulado_Q12'!F26</f>
        <v>5148.3103200000005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f>+'[2]SFA+EPR mensal-acumulado_Q12'!D27</f>
        <v>0</v>
      </c>
      <c r="E27" s="59">
        <f>+'[2]SFA+EPR mensal-acumulado_Q12'!E27</f>
        <v>0</v>
      </c>
      <c r="F27" s="59">
        <f>+'[2]SFA+EPR mensal-acumulado_Q12'!F27</f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f>+'[2]SFA+EPR mensal-acumulado_Q12'!D29</f>
        <v>36514.859819999983</v>
      </c>
      <c r="E29" s="83">
        <f>+'[2]SFA+EPR mensal-acumulado_Q12'!E29</f>
        <v>21721.519060000013</v>
      </c>
      <c r="F29" s="83">
        <f>+'[2]SFA+EPR mensal-acumulado_Q12'!F29</f>
        <v>58236.378879999997</v>
      </c>
    </row>
    <row r="30" spans="3:6" ht="11.25" customHeight="1">
      <c r="C30" s="110"/>
      <c r="D30" s="83"/>
      <c r="E30" s="83"/>
      <c r="F30" s="83"/>
    </row>
    <row r="31" spans="3:6" ht="17.25" customHeight="1">
      <c r="C31" s="319" t="str">
        <f>+IF(Índice!$D$2=1,"Saldo global","Overall balance")</f>
        <v>Overall balance</v>
      </c>
      <c r="D31" s="320">
        <f>+'[2]SFA+EPR mensal-acumulado_Q12'!D31</f>
        <v>6265.5621200000242</v>
      </c>
      <c r="E31" s="320">
        <f>+'[2]SFA+EPR mensal-acumulado_Q12'!E31</f>
        <v>-1017.2921900000074</v>
      </c>
      <c r="F31" s="320">
        <f>+'[2]SFA+EPR mensal-acumulado_Q12'!F31</f>
        <v>5248.2699300000168</v>
      </c>
    </row>
    <row r="32" spans="3:6" ht="15" customHeight="1">
      <c r="C32" s="334" t="str">
        <f>+IF(Índice!$D$2=1,"Fonte: Secretaria Regional das Finanças","Source: Regional Finance Secretariat")</f>
        <v>Source: Regional Finance Secretariat</v>
      </c>
      <c r="D32" s="334"/>
      <c r="E32" s="334"/>
      <c r="F32" s="59"/>
    </row>
    <row r="33" spans="3:6" ht="11.25" customHeight="1">
      <c r="C33" s="321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D42" sqref="D42:F4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fevereiro de 2023 (valores acumulados)","Table XIII- Accounts payable of the Regional Administration, february (accumulated)")</f>
        <v>Table XIII- Accounts payable of the Regional Administration, february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0" t="s">
        <v>26</v>
      </c>
      <c r="D3" s="353" t="str">
        <f>+IF(Índice!$D$2=1,"fevereiro 2023","february 2023")</f>
        <v>february 2023</v>
      </c>
      <c r="E3" s="353" t="str">
        <f>+IF(Índice!$D$2="PT","janeiro 2020","January")</f>
        <v>January</v>
      </c>
      <c r="F3" s="353" t="str">
        <f>+IF(Índice!$D$2="PT","janeiro 2020","January")</f>
        <v>January</v>
      </c>
      <c r="G3" s="344" t="str">
        <f>+IF(Índice!$D$2=1,"Variação face ao stock inicial de fevereiro","Change from period initial stock")</f>
        <v>Change from period initial stock</v>
      </c>
      <c r="H3" s="345"/>
      <c r="I3" s="345"/>
    </row>
    <row r="4" spans="2:11" ht="12.75" customHeight="1">
      <c r="C4" s="340"/>
      <c r="D4" s="352" t="str">
        <f>+IF(Índice!$D$2=1,"Stock final do período","Accumulated")</f>
        <v>Accumulated</v>
      </c>
      <c r="E4" s="352"/>
      <c r="F4" s="352"/>
      <c r="G4" s="349" t="str">
        <f>+IF(Índice!$D$2=1,"Passivo","Liabilities")</f>
        <v>Liabilities</v>
      </c>
      <c r="H4" s="349" t="str">
        <f>+IF(Índice!$D$2=1,"Contas a pagar","Accounts payable")</f>
        <v>Accounts payable</v>
      </c>
      <c r="I4" s="338" t="str">
        <f>+IF(Índice!$D$2=1,"Pagamentos em atraso","Late payments")</f>
        <v>Late payments</v>
      </c>
    </row>
    <row r="5" spans="2:11" ht="22.5">
      <c r="B5" s="29"/>
      <c r="C5" s="340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0"/>
      <c r="H5" s="350"/>
      <c r="I5" s="339"/>
    </row>
    <row r="6" spans="2:11">
      <c r="B6" s="29"/>
      <c r="C6" s="119" t="str">
        <f>+IF(Índice!$D$2=1,"Despesa corrente","Current expenditure")</f>
        <v>Current expenditure</v>
      </c>
      <c r="D6" s="162">
        <f>+[2]Compromissos_Q15_16_17_18!B29</f>
        <v>147831835.70000041</v>
      </c>
      <c r="E6" s="162">
        <f>+[2]Compromissos_Q15_16_17_18!C29</f>
        <v>134704277.0200004</v>
      </c>
      <c r="F6" s="162">
        <f>+[2]Compromissos_Q15_16_17_18!D29</f>
        <v>21248841.27</v>
      </c>
      <c r="G6" s="91">
        <f>+[2]Compromissos_Q15_16_17_18!E29</f>
        <v>0.28325089225085387</v>
      </c>
      <c r="H6" s="91">
        <f>+[2]Compromissos_Q15_16_17_18!F29</f>
        <v>0.27188484031550209</v>
      </c>
      <c r="I6" s="116">
        <f>+[2]Compromissos_Q15_16_17_18!G29</f>
        <v>0.36905490176605249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f>+[2]Compromissos_Q15_16_17_18!B30</f>
        <v>5346352.9499999993</v>
      </c>
      <c r="E7" s="165">
        <f>+[2]Compromissos_Q15_16_17_18!C30</f>
        <v>4559945.25</v>
      </c>
      <c r="F7" s="165">
        <f>+[2]Compromissos_Q15_16_17_18!D30</f>
        <v>9327.41</v>
      </c>
      <c r="G7" s="95">
        <f>+[2]Compromissos_Q15_16_17_18!E30</f>
        <v>4.0465413594813384</v>
      </c>
      <c r="H7" s="95">
        <f>+[2]Compromissos_Q15_16_17_18!F30</f>
        <v>7.7844507998482975</v>
      </c>
      <c r="I7" s="121">
        <f>+[2]Compromissos_Q15_16_17_18!G30</f>
        <v>5.5935996812067179E-2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f>+[2]Compromissos_Q15_16_17_18!B31</f>
        <v>76865128.230000392</v>
      </c>
      <c r="E8" s="165">
        <f>+[2]Compromissos_Q15_16_17_18!C31</f>
        <v>76178342.270000383</v>
      </c>
      <c r="F8" s="165">
        <f>+[2]Compromissos_Q15_16_17_18!D31</f>
        <v>20768737.459999997</v>
      </c>
      <c r="G8" s="95">
        <f>+[2]Compromissos_Q15_16_17_18!E31</f>
        <v>0.19094919375243369</v>
      </c>
      <c r="H8" s="95">
        <f>+[2]Compromissos_Q15_16_17_18!F31</f>
        <v>0.19522800426846731</v>
      </c>
      <c r="I8" s="121">
        <f>+[2]Compromissos_Q15_16_17_18!G31</f>
        <v>0.38536769326378573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f>+[2]Compromissos_Q15_16_17_18!B32</f>
        <v>14839373.529999997</v>
      </c>
      <c r="E9" s="165">
        <f>+[2]Compromissos_Q15_16_17_18!C32</f>
        <v>8502581.4499999993</v>
      </c>
      <c r="F9" s="165">
        <f>+[2]Compromissos_Q15_16_17_18!D32</f>
        <v>322075.35000000009</v>
      </c>
      <c r="G9" s="95">
        <f>+[2]Compromissos_Q15_16_17_18!E32</f>
        <v>0.33492965004720876</v>
      </c>
      <c r="H9" s="95">
        <f>+[2]Compromissos_Q15_16_17_18!F32</f>
        <v>0.7789951265122903</v>
      </c>
      <c r="I9" s="121">
        <f>+[2]Compromissos_Q15_16_17_18!G32</f>
        <v>-0.13446524347278777</v>
      </c>
    </row>
    <row r="10" spans="2:11">
      <c r="B10" s="29"/>
      <c r="C10" s="120" t="str">
        <f>+IF(Índice!$D$2=1,"Transferências correntes","Current transfers")</f>
        <v>Current transfers</v>
      </c>
      <c r="D10" s="165">
        <f>+[2]Compromissos_Q15_16_17_18!B33</f>
        <v>49769616.890000001</v>
      </c>
      <c r="E10" s="165">
        <f>+[2]Compromissos_Q15_16_17_18!C33</f>
        <v>44474215.390000001</v>
      </c>
      <c r="F10" s="165">
        <f>+[2]Compromissos_Q15_16_17_18!D33</f>
        <v>148691.04999999999</v>
      </c>
      <c r="G10" s="95">
        <f>+[2]Compromissos_Q15_16_17_18!E33</f>
        <v>0.30472698773344886</v>
      </c>
      <c r="H10" s="95">
        <f>+[2]Compromissos_Q15_16_17_18!F33</f>
        <v>0.21703423206076278</v>
      </c>
      <c r="I10" s="121">
        <f>+[2]Compromissos_Q15_16_17_18!G33</f>
        <v>2.250649867566068E-3</v>
      </c>
    </row>
    <row r="11" spans="2:11">
      <c r="B11" s="29"/>
      <c r="C11" s="120" t="str">
        <f>+IF(Índice!$D$2=1,"Subsídios","Subsidies")</f>
        <v>Subsidies</v>
      </c>
      <c r="D11" s="165">
        <f>+[2]Compromissos_Q15_16_17_18!B34</f>
        <v>899641.02</v>
      </c>
      <c r="E11" s="165">
        <f>+[2]Compromissos_Q15_16_17_18!C34</f>
        <v>884956.77</v>
      </c>
      <c r="F11" s="165">
        <f>+[2]Compromissos_Q15_16_17_18!D34</f>
        <v>0</v>
      </c>
      <c r="G11" s="95">
        <f>+[2]Compromissos_Q15_16_17_18!E34</f>
        <v>1.8557837507155401</v>
      </c>
      <c r="H11" s="95">
        <f>+[2]Compromissos_Q15_16_17_18!F34</f>
        <v>1.8091706665973386</v>
      </c>
      <c r="I11" s="121">
        <f>+[2]Compromissos_Q15_16_17_18!G34</f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f>+[2]Compromissos_Q15_16_17_18!B35</f>
        <v>111723.07999999999</v>
      </c>
      <c r="E12" s="165">
        <f>+[2]Compromissos_Q15_16_17_18!C35</f>
        <v>104235.88999999998</v>
      </c>
      <c r="F12" s="165">
        <f>+[2]Compromissos_Q15_16_17_18!D35</f>
        <v>10</v>
      </c>
      <c r="G12" s="95">
        <f>+[2]Compromissos_Q15_16_17_18!E35</f>
        <v>3.7136582202591431</v>
      </c>
      <c r="H12" s="95">
        <f>+[2]Compromissos_Q15_16_17_18!F35</f>
        <v>5.0902667576581218</v>
      </c>
      <c r="I12" s="121">
        <f>+[2]Compromissos_Q15_16_17_18!G35</f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f>+[2]Compromissos_Q15_16_17_18!B36</f>
        <v>49310205.359999999</v>
      </c>
      <c r="E13" s="163">
        <f>+[2]Compromissos_Q15_16_17_18!C36</f>
        <v>33078081.450000003</v>
      </c>
      <c r="F13" s="163">
        <f>+[2]Compromissos_Q15_16_17_18!D36</f>
        <v>1111526.8300000003</v>
      </c>
      <c r="G13" s="92">
        <f>+[2]Compromissos_Q15_16_17_18!E36</f>
        <v>-2.4745547536220269E-2</v>
      </c>
      <c r="H13" s="92">
        <f>+[2]Compromissos_Q15_16_17_18!F36</f>
        <v>-3.6446146583694716E-2</v>
      </c>
      <c r="I13" s="117">
        <f>+[2]Compromissos_Q15_16_17_18!G36</f>
        <v>0.23878188875273842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f>+[2]Compromissos_Q15_16_17_18!B37</f>
        <v>27791619.239999998</v>
      </c>
      <c r="E14" s="165">
        <f>+[2]Compromissos_Q15_16_17_18!C37</f>
        <v>17956880.579999998</v>
      </c>
      <c r="F14" s="165">
        <f>+[2]Compromissos_Q15_16_17_18!D37</f>
        <v>1111526.8300000003</v>
      </c>
      <c r="G14" s="95">
        <f>+[2]Compromissos_Q15_16_17_18!E37</f>
        <v>-6.7692859887791279E-2</v>
      </c>
      <c r="H14" s="95">
        <f>+[2]Compromissos_Q15_16_17_18!F37</f>
        <v>-0.10102198124860873</v>
      </c>
      <c r="I14" s="121">
        <f>+[2]Compromissos_Q15_16_17_18!G37</f>
        <v>0.23878188875273842</v>
      </c>
    </row>
    <row r="15" spans="2:11">
      <c r="B15" s="29"/>
      <c r="C15" s="120" t="str">
        <f>+IF(Índice!$D$2=1,"Transferências capital","Capital transfers")</f>
        <v>Capital transfers</v>
      </c>
      <c r="D15" s="165">
        <f>+[2]Compromissos_Q15_16_17_18!B38</f>
        <v>21518586.120000001</v>
      </c>
      <c r="E15" s="165">
        <f>+[2]Compromissos_Q15_16_17_18!C38</f>
        <v>15121200.870000001</v>
      </c>
      <c r="F15" s="165">
        <f>+[2]Compromissos_Q15_16_17_18!D38</f>
        <v>0</v>
      </c>
      <c r="G15" s="95">
        <f>+[2]Compromissos_Q15_16_17_18!E38</f>
        <v>3.6947144103803398E-2</v>
      </c>
      <c r="H15" s="95">
        <f>+[2]Compromissos_Q15_16_17_18!F38</f>
        <v>5.3413441394788652E-2</v>
      </c>
      <c r="I15" s="121">
        <f>+[2]Compromissos_Q15_16_17_18!G38</f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f>+[2]Compromissos_Q15_16_17_18!B39</f>
        <v>0</v>
      </c>
      <c r="E16" s="166">
        <f>+[2]Compromissos_Q15_16_17_18!C39</f>
        <v>0</v>
      </c>
      <c r="F16" s="166">
        <f>+[2]Compromissos_Q15_16_17_18!D39</f>
        <v>0</v>
      </c>
      <c r="G16" s="96">
        <f>+[2]Compromissos_Q15_16_17_18!E39</f>
        <v>0</v>
      </c>
      <c r="H16" s="96">
        <f>+[2]Compromissos_Q15_16_17_18!F39</f>
        <v>0</v>
      </c>
      <c r="I16" s="123">
        <f>+[2]Compromissos_Q15_16_17_18!G39</f>
        <v>0</v>
      </c>
    </row>
    <row r="17" spans="2:9">
      <c r="B17" s="29"/>
      <c r="C17" s="146" t="s">
        <v>26</v>
      </c>
      <c r="D17" s="164">
        <f>+[2]Compromissos_Q15_16_17_18!B40</f>
        <v>197142041.06000039</v>
      </c>
      <c r="E17" s="164">
        <f>+[2]Compromissos_Q15_16_17_18!C40</f>
        <v>167782358.47000039</v>
      </c>
      <c r="F17" s="164">
        <f>+[2]Compromissos_Q15_16_17_18!D40</f>
        <v>22360368.100000001</v>
      </c>
      <c r="G17" s="147">
        <f>+[2]Compromissos_Q15_16_17_18!E40</f>
        <v>0.18930484632523648</v>
      </c>
      <c r="H17" s="147">
        <f>+[2]Compromissos_Q15_16_17_18!F40</f>
        <v>0.19640787000692295</v>
      </c>
      <c r="I17" s="148">
        <f>+[2]Compromissos_Q15_16_17_18!G40</f>
        <v>0.36193527739015607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f>+[2]Compromissos_Q15_16_17_18!B42</f>
        <v>150992655.53</v>
      </c>
      <c r="E19" s="164">
        <f>+[2]Compromissos_Q15_16_17_18!C42</f>
        <v>121645456.88000003</v>
      </c>
      <c r="F19" s="164">
        <f>+[2]Compromissos_Q15_16_17_18!D42</f>
        <v>2242743.9999999986</v>
      </c>
      <c r="G19" s="147">
        <f>+[2]Compromissos_Q15_16_17_18!E42</f>
        <v>0.24554446880525393</v>
      </c>
      <c r="H19" s="147">
        <f>+[2]Compromissos_Q15_16_17_18!F42</f>
        <v>0.2709168534044708</v>
      </c>
      <c r="I19" s="148">
        <f>+[2]Compromissos_Q15_16_17_18!G42</f>
        <v>1.598798578251559E-2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fevereiro de 2023 (valores acumulados)","Table XIV - Accounts payable of the Regional Gov., february (accumulated)")</f>
        <v>Table XIV - Accounts payable of the Regional Gov., february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0" t="str">
        <f>+IF(Índice!$D$2=1,"Governo Regional","Regional Government")</f>
        <v>Regional Government</v>
      </c>
      <c r="D24" s="337" t="str">
        <f>+IF(Índice!$D$2=1,"fevereiro 2023","february 2023")</f>
        <v>february 2023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44" t="str">
        <f>+IF(Índice!$D$2=1,"Variação face ao stock inicial de fevereiro","Change from period initial stock")</f>
        <v>Change from period initial stock</v>
      </c>
      <c r="H24" s="345"/>
      <c r="I24" s="345"/>
    </row>
    <row r="25" spans="2:9" ht="22.5" customHeight="1">
      <c r="B25" s="29"/>
      <c r="C25" s="340"/>
      <c r="D25" s="352" t="str">
        <f>+IF(Índice!$D$2=1,"Stock final do período","Accumulated")</f>
        <v>Accumulated</v>
      </c>
      <c r="E25" s="352"/>
      <c r="F25" s="352"/>
      <c r="G25" s="349" t="str">
        <f>+IF(Índice!$D$2=1,"Passivo","Liabilities")</f>
        <v>Liabilities</v>
      </c>
      <c r="H25" s="349" t="str">
        <f>+IF(Índice!$D$2=1,"Contas a pagar","Accounts payable")</f>
        <v>Accounts payable</v>
      </c>
      <c r="I25" s="338" t="str">
        <f>+IF(Índice!$D$2=1,"Pagamentos em atraso","Late payments")</f>
        <v>Late payments</v>
      </c>
    </row>
    <row r="26" spans="2:9" ht="22.5">
      <c r="B26" s="29"/>
      <c r="C26" s="340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0"/>
      <c r="H26" s="350"/>
      <c r="I26" s="339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f>+[2]Compromissos_Q15_16_17_18!B5</f>
        <v>27130239.729999997</v>
      </c>
      <c r="E27" s="162">
        <f>+[2]Compromissos_Q15_16_17_18!C5</f>
        <v>18893200.459999997</v>
      </c>
      <c r="F27" s="162">
        <f>+[2]Compromissos_Q15_16_17_18!D5</f>
        <v>1119068.7899999998</v>
      </c>
      <c r="G27" s="91">
        <f>+[2]Compromissos_Q15_16_17_18!E5</f>
        <v>1.342710056135759</v>
      </c>
      <c r="H27" s="91">
        <f>+[2]Compromissos_Q15_16_17_18!F5</f>
        <v>1.6239978878464698</v>
      </c>
      <c r="I27" s="116">
        <f>+[2]Compromissos_Q15_16_17_18!G5</f>
        <v>2.3314641821672311E-3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f>+[2]Compromissos_Q15_16_17_18!B6</f>
        <v>37078384.710000001</v>
      </c>
      <c r="E28" s="163">
        <f>+[2]Compromissos_Q15_16_17_18!C6</f>
        <v>29563395.800000001</v>
      </c>
      <c r="F28" s="163">
        <f>+[2]Compromissos_Q15_16_17_18!D6</f>
        <v>630</v>
      </c>
      <c r="G28" s="92">
        <f>+[2]Compromissos_Q15_16_17_18!E6</f>
        <v>-3.3259048656563261E-2</v>
      </c>
      <c r="H28" s="172">
        <f>+[2]Compromissos_Q15_16_17_18!F6</f>
        <v>-4.1363762589080921E-2</v>
      </c>
      <c r="I28" s="117">
        <f>+[2]Compromissos_Q15_16_17_18!G6</f>
        <v>0</v>
      </c>
    </row>
    <row r="29" spans="2:9" ht="20.100000000000001" customHeight="1">
      <c r="B29" s="29"/>
      <c r="C29" s="146" t="s">
        <v>26</v>
      </c>
      <c r="D29" s="164">
        <f>+[2]Compromissos_Q15_16_17_18!B7</f>
        <v>64208624.439999998</v>
      </c>
      <c r="E29" s="164">
        <f>+[2]Compromissos_Q15_16_17_18!C7</f>
        <v>48456596.259999998</v>
      </c>
      <c r="F29" s="164">
        <f>+[2]Compromissos_Q15_16_17_18!D7</f>
        <v>1119698.7899999998</v>
      </c>
      <c r="G29" s="147">
        <f>+[2]Compromissos_Q15_16_17_18!E7</f>
        <v>0.28585155993905564</v>
      </c>
      <c r="H29" s="147">
        <f>+[2]Compromissos_Q15_16_17_18!F7</f>
        <v>0.27386044217307526</v>
      </c>
      <c r="I29" s="148">
        <f>+[2]Compromissos_Q15_16_17_18!G7</f>
        <v>2.330149324079045E-3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fevereiro de 2023 (valores acumulados)","Table XV - Accounts payable of the ASFs, february (accumulated)")</f>
        <v>Table XV - Accounts payable of the ASFs, february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1" t="str">
        <f>+IF(Índice!$D$2=1,"Serviços e Fundos Autónomos","Autonomous Services and Funds")</f>
        <v>Autonomous Services and Funds</v>
      </c>
      <c r="D33" s="337" t="str">
        <f>+IF(Índice!$D$2=1,"fevereiro 2023","february 2023")</f>
        <v>february 2023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44" t="str">
        <f>+IF(Índice!$D$2=1,"Variação face ao stock inicial de fevereiro","Change from period initial stock")</f>
        <v>Change from period initial stock</v>
      </c>
      <c r="H33" s="345"/>
      <c r="I33" s="345"/>
    </row>
    <row r="34" spans="2:9" ht="12.75" customHeight="1">
      <c r="C34" s="342"/>
      <c r="D34" s="346" t="str">
        <f>+IF(Índice!$D$2=1,"Stock final do período","Accumulated")</f>
        <v>Accumulated</v>
      </c>
      <c r="E34" s="347"/>
      <c r="F34" s="348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38" t="str">
        <f>+IF(Índice!$D$2=1,"Pagamentos em atraso","Late payments")</f>
        <v>Late payments</v>
      </c>
    </row>
    <row r="35" spans="2:9" ht="22.5">
      <c r="C35" s="343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0"/>
      <c r="H35" s="350"/>
      <c r="I35" s="339"/>
    </row>
    <row r="36" spans="2:9" ht="20.100000000000001" customHeight="1">
      <c r="C36" s="115" t="str">
        <f>+IF(Índice!$D$2=1,"Despesa corrente","Current expenditure")</f>
        <v>Current expenditure</v>
      </c>
      <c r="D36" s="162">
        <f>+[2]Compromissos_Q15_16_17_18!B13</f>
        <v>68905856.730000004</v>
      </c>
      <c r="E36" s="162">
        <f>+[2]Compromissos_Q15_16_17_18!C13</f>
        <v>68305369.280000001</v>
      </c>
      <c r="F36" s="162">
        <f>+[2]Compromissos_Q15_16_17_18!D13</f>
        <v>1123045.21</v>
      </c>
      <c r="G36" s="91">
        <f>+[2]Compromissos_Q15_16_17_18!E13</f>
        <v>0.28793868259404554</v>
      </c>
      <c r="H36" s="91">
        <f>+[2]Compromissos_Q15_16_17_18!F13</f>
        <v>0.29227005831920527</v>
      </c>
      <c r="I36" s="116">
        <f>+[2]Compromissos_Q15_16_17_18!G13</f>
        <v>2.9980772051126925E-2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f>+[2]Compromissos_Q15_16_17_18!B14</f>
        <v>465619.44</v>
      </c>
      <c r="E37" s="163">
        <f>+[2]Compromissos_Q15_16_17_18!C14</f>
        <v>465619.44</v>
      </c>
      <c r="F37" s="163">
        <f>+[2]Compromissos_Q15_16_17_18!D14</f>
        <v>0</v>
      </c>
      <c r="G37" s="92">
        <f>+[2]Compromissos_Q15_16_17_18!E14</f>
        <v>3.6798601128499975E-2</v>
      </c>
      <c r="H37" s="92">
        <f>+[2]Compromissos_Q15_16_17_18!F14</f>
        <v>3.6798601128499975E-2</v>
      </c>
      <c r="I37" s="117">
        <f>+[2]Compromissos_Q15_16_17_18!G14</f>
        <v>0</v>
      </c>
    </row>
    <row r="38" spans="2:9" ht="20.100000000000001" customHeight="1">
      <c r="C38" s="146" t="s">
        <v>26</v>
      </c>
      <c r="D38" s="164">
        <f>+[2]Compromissos_Q15_16_17_18!B15</f>
        <v>69371476.170000002</v>
      </c>
      <c r="E38" s="164">
        <f>+[2]Compromissos_Q15_16_17_18!C15</f>
        <v>68770988.719999999</v>
      </c>
      <c r="F38" s="164">
        <f>+[2]Compromissos_Q15_16_17_18!D15</f>
        <v>1123045.21</v>
      </c>
      <c r="G38" s="147">
        <f>+[2]Compromissos_Q15_16_17_18!E15</f>
        <v>0.28584812819306449</v>
      </c>
      <c r="H38" s="147">
        <f>+[2]Compromissos_Q15_16_17_18!F15</f>
        <v>0.29011775650757898</v>
      </c>
      <c r="I38" s="148">
        <f>+[2]Compromissos_Q15_16_17_18!G15</f>
        <v>2.9980772051126925E-2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fevereiro de 2023 (valores acumulados)","Table XVI - Accounts payable of the RPEs, february (accumulated)")</f>
        <v>Table XVI - Accounts payable of the RPEs, february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1" t="str">
        <f>+IF(Índice!$D$2=1,"Entidades Públicas Reclassseicadas","Reclassseied Public Entities")</f>
        <v>Reclassseied Public Entities</v>
      </c>
      <c r="D42" s="337" t="str">
        <f>+IF(Índice!$D$2=1,"fevereiro 2023","february 2023")</f>
        <v>february 2023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44" t="str">
        <f>+IF(Índice!$D$2=1,"Variação face ao stock inicial de fevereiro","Change from period initial stock")</f>
        <v>Change from period initial stock</v>
      </c>
      <c r="H42" s="345"/>
      <c r="I42" s="345"/>
    </row>
    <row r="43" spans="2:9" ht="12.75" customHeight="1">
      <c r="C43" s="342"/>
      <c r="D43" s="346" t="str">
        <f>+IF(Índice!$D$2=1,"Stock final do período","Accumulated")</f>
        <v>Accumulated</v>
      </c>
      <c r="E43" s="347"/>
      <c r="F43" s="348"/>
      <c r="G43" s="349" t="str">
        <f>+IF(Índice!$D$2=1,"Passivo","Liabilities")</f>
        <v>Liabilities</v>
      </c>
      <c r="H43" s="349" t="str">
        <f>+IF(Índice!$D$2=1,"Contas a pagar","Accounts payable")</f>
        <v>Accounts payable</v>
      </c>
      <c r="I43" s="338" t="str">
        <f>+IF(Índice!$D$2=1,"Pagamentos em atraso","Late payments")</f>
        <v>Late payments</v>
      </c>
    </row>
    <row r="44" spans="2:9" ht="22.5">
      <c r="C44" s="343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0"/>
      <c r="H44" s="350"/>
      <c r="I44" s="339"/>
    </row>
    <row r="45" spans="2:9" ht="20.100000000000001" customHeight="1">
      <c r="C45" s="115" t="str">
        <f>+IF(Índice!$D$2=1,"Despesa corrente","Current expenditure")</f>
        <v>Current expenditure</v>
      </c>
      <c r="D45" s="162">
        <f>+[2]Compromissos_Q15_16_17_18!B21</f>
        <v>51795739.240000397</v>
      </c>
      <c r="E45" s="162">
        <f>+[2]Compromissos_Q15_16_17_18!C21</f>
        <v>47505707.280000389</v>
      </c>
      <c r="F45" s="162">
        <f>+[2]Compromissos_Q15_16_17_18!D21</f>
        <v>19006727.27</v>
      </c>
      <c r="G45" s="91">
        <f>+[2]Compromissos_Q15_16_17_18!E21</f>
        <v>3.3445917433726491E-2</v>
      </c>
      <c r="H45" s="91">
        <f>+[2]Compromissos_Q15_16_17_18!F21</f>
        <v>3.6063162487063316E-2</v>
      </c>
      <c r="I45" s="116">
        <f>+[2]Compromissos_Q15_16_17_18!G21</f>
        <v>0.42757571957084584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f>+[2]Compromissos_Q15_16_17_18!B22</f>
        <v>11766201.209999999</v>
      </c>
      <c r="E46" s="163">
        <f>+[2]Compromissos_Q15_16_17_18!C22</f>
        <v>3049066.209999999</v>
      </c>
      <c r="F46" s="163">
        <f>+[2]Compromissos_Q15_16_17_18!D22</f>
        <v>1110896.8300000003</v>
      </c>
      <c r="G46" s="92">
        <f>+[2]Compromissos_Q15_16_17_18!E22</f>
        <v>6.7380016670592902E-4</v>
      </c>
      <c r="H46" s="92">
        <f>+[2]Compromissos_Q15_16_17_18!F22</f>
        <v>2.6051812589913403E-3</v>
      </c>
      <c r="I46" s="117">
        <f>+[2]Compromissos_Q15_16_17_18!G22</f>
        <v>0.23894966167399079</v>
      </c>
    </row>
    <row r="47" spans="2:9" ht="20.100000000000001" customHeight="1">
      <c r="C47" s="146" t="s">
        <v>26</v>
      </c>
      <c r="D47" s="164">
        <f>+[2]Compromissos_Q15_16_17_18!B23</f>
        <v>63561940.450000398</v>
      </c>
      <c r="E47" s="164">
        <f>+[2]Compromissos_Q15_16_17_18!C23</f>
        <v>50554773.49000039</v>
      </c>
      <c r="F47" s="164">
        <f>+[2]Compromissos_Q15_16_17_18!D23</f>
        <v>20117624.100000001</v>
      </c>
      <c r="G47" s="147">
        <f>+[2]Compromissos_Q15_16_17_18!E23</f>
        <v>2.7218415209661062E-2</v>
      </c>
      <c r="H47" s="147">
        <f>+[2]Compromissos_Q15_16_17_18!F23</f>
        <v>3.3982088644914032E-2</v>
      </c>
      <c r="I47" s="148">
        <f>+[2]Compromissos_Q15_16_17_18!G23</f>
        <v>0.41567403782063606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7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2" t="s">
        <v>96</v>
      </c>
      <c r="D2" s="174"/>
      <c r="E2" s="178" t="str">
        <f>+IF(Índice!$D$2=1,"índice","Index")</f>
        <v>Index</v>
      </c>
    </row>
    <row r="3" spans="2:5">
      <c r="B3" s="55"/>
      <c r="C3" s="289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30</v>
      </c>
      <c r="D7" s="170"/>
      <c r="E7" s="169"/>
    </row>
    <row r="8" spans="2:5">
      <c r="B8" s="195"/>
      <c r="C8" s="171" t="s">
        <v>13</v>
      </c>
      <c r="D8" s="171"/>
      <c r="E8" s="169"/>
    </row>
    <row r="9" spans="2:5">
      <c r="B9" s="195"/>
      <c r="C9" s="170" t="s">
        <v>41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55</v>
      </c>
      <c r="D11" s="170"/>
      <c r="E11" s="169"/>
    </row>
    <row r="12" spans="2:5">
      <c r="B12" s="195"/>
      <c r="C12" s="170" t="s">
        <v>48</v>
      </c>
      <c r="D12" s="170"/>
      <c r="E12" s="169"/>
    </row>
    <row r="13" spans="2:5">
      <c r="B13" s="195"/>
      <c r="C13" s="170" t="s">
        <v>75</v>
      </c>
      <c r="D13" s="170"/>
      <c r="E13" s="169"/>
    </row>
    <row r="14" spans="2:5">
      <c r="B14" s="195"/>
      <c r="C14" s="170" t="s">
        <v>11</v>
      </c>
      <c r="D14" s="170"/>
      <c r="E14" s="169"/>
    </row>
    <row r="15" spans="2:5">
      <c r="B15" s="195"/>
      <c r="C15" s="170" t="s">
        <v>49</v>
      </c>
      <c r="D15" s="170"/>
      <c r="E15" s="169"/>
    </row>
    <row r="16" spans="2:5">
      <c r="B16" s="195"/>
      <c r="C16" s="170" t="s">
        <v>42</v>
      </c>
      <c r="D16" s="170"/>
      <c r="E16" s="169"/>
    </row>
    <row r="17" spans="2:5">
      <c r="B17" s="195"/>
      <c r="C17" s="170" t="s">
        <v>66</v>
      </c>
      <c r="D17" s="171"/>
      <c r="E17" s="169"/>
    </row>
    <row r="18" spans="2:5">
      <c r="B18" s="195"/>
      <c r="C18" s="170" t="s">
        <v>58</v>
      </c>
      <c r="D18" s="170"/>
      <c r="E18" s="169"/>
    </row>
    <row r="19" spans="2:5">
      <c r="B19" s="195"/>
      <c r="C19" s="170" t="s">
        <v>8</v>
      </c>
      <c r="D19" s="170"/>
      <c r="E19" s="169"/>
    </row>
    <row r="20" spans="2:5">
      <c r="B20" s="195"/>
      <c r="C20" s="170" t="s">
        <v>56</v>
      </c>
      <c r="D20" s="170"/>
      <c r="E20" s="169"/>
    </row>
    <row r="21" spans="2:5">
      <c r="B21" s="195"/>
      <c r="C21" s="170" t="s">
        <v>57</v>
      </c>
      <c r="D21" s="170"/>
      <c r="E21" s="169"/>
    </row>
    <row r="22" spans="2:5">
      <c r="B22" s="195"/>
      <c r="C22" s="170" t="s">
        <v>33</v>
      </c>
      <c r="D22" s="170"/>
      <c r="E22" s="169"/>
    </row>
    <row r="23" spans="2:5">
      <c r="B23" s="195"/>
      <c r="C23" s="170" t="s">
        <v>50</v>
      </c>
      <c r="D23" s="170"/>
      <c r="E23" s="169"/>
    </row>
    <row r="24" spans="2:5">
      <c r="B24" s="195"/>
      <c r="C24" s="170" t="s">
        <v>51</v>
      </c>
      <c r="D24" s="170"/>
      <c r="E24" s="169"/>
    </row>
    <row r="25" spans="2:5">
      <c r="B25" s="195"/>
      <c r="C25" s="170" t="s">
        <v>34</v>
      </c>
      <c r="D25" s="170"/>
      <c r="E25" s="169"/>
    </row>
    <row r="26" spans="2:5">
      <c r="B26" s="195"/>
      <c r="C26" s="170" t="s">
        <v>52</v>
      </c>
      <c r="D26" s="170"/>
      <c r="E26" s="169"/>
    </row>
    <row r="27" spans="2:5">
      <c r="B27" s="195"/>
      <c r="C27" s="170" t="s">
        <v>64</v>
      </c>
      <c r="D27" s="170"/>
      <c r="E27" s="169"/>
    </row>
    <row r="28" spans="2:5">
      <c r="B28" s="195"/>
      <c r="C28" s="170" t="s">
        <v>62</v>
      </c>
      <c r="D28" s="170"/>
      <c r="E28" s="169"/>
    </row>
    <row r="29" spans="2:5">
      <c r="B29" s="55"/>
      <c r="C29" s="170" t="s">
        <v>43</v>
      </c>
      <c r="D29" s="170"/>
      <c r="E29" s="169"/>
    </row>
    <row r="30" spans="2:5">
      <c r="B30" s="55"/>
      <c r="C30" s="170" t="s">
        <v>44</v>
      </c>
      <c r="D30" s="170"/>
      <c r="E30" s="169"/>
    </row>
    <row r="31" spans="2:5">
      <c r="B31" s="55"/>
      <c r="C31" s="170" t="s">
        <v>35</v>
      </c>
      <c r="D31" s="170"/>
      <c r="E31" s="169"/>
    </row>
    <row r="32" spans="2:5">
      <c r="B32" s="55"/>
      <c r="C32" s="170" t="s">
        <v>45</v>
      </c>
      <c r="D32" s="170"/>
      <c r="E32" s="169"/>
    </row>
    <row r="33" spans="2:5">
      <c r="B33" s="55"/>
      <c r="C33" s="170" t="s">
        <v>59</v>
      </c>
      <c r="D33" s="170"/>
      <c r="E33" s="169"/>
    </row>
    <row r="34" spans="2:5">
      <c r="B34" s="55"/>
      <c r="C34" s="170" t="s">
        <v>63</v>
      </c>
      <c r="D34" s="170"/>
      <c r="E34" s="169"/>
    </row>
    <row r="35" spans="2:5">
      <c r="B35" s="55"/>
      <c r="C35" s="170" t="s">
        <v>77</v>
      </c>
      <c r="D35" s="170"/>
      <c r="E35" s="169"/>
    </row>
    <row r="36" spans="2:5">
      <c r="B36" s="55"/>
      <c r="C36" s="170" t="s">
        <v>65</v>
      </c>
      <c r="D36" s="170"/>
      <c r="E36" s="169"/>
    </row>
    <row r="37" spans="2:5">
      <c r="B37" s="55"/>
      <c r="C37" s="170" t="s">
        <v>92</v>
      </c>
      <c r="D37" s="170"/>
      <c r="E37" s="169"/>
    </row>
    <row r="38" spans="2:5">
      <c r="B38" s="55"/>
      <c r="C38" s="170" t="s">
        <v>32</v>
      </c>
      <c r="D38" s="170"/>
      <c r="E38" s="169"/>
    </row>
    <row r="39" spans="2:5">
      <c r="B39" s="55"/>
      <c r="C39" s="171" t="s">
        <v>54</v>
      </c>
      <c r="D39" s="170"/>
      <c r="E39" s="169"/>
    </row>
    <row r="40" spans="2:5">
      <c r="B40" s="55"/>
      <c r="C40" s="170" t="s">
        <v>9</v>
      </c>
      <c r="D40" s="170"/>
      <c r="E40" s="169"/>
    </row>
    <row r="41" spans="2:5">
      <c r="B41" s="55"/>
      <c r="C41" s="170" t="s">
        <v>60</v>
      </c>
      <c r="D41" s="170"/>
      <c r="E41" s="169"/>
    </row>
    <row r="42" spans="2:5">
      <c r="B42" s="55"/>
      <c r="C42" s="170" t="s">
        <v>88</v>
      </c>
      <c r="D42" s="170"/>
      <c r="E42" s="169"/>
    </row>
    <row r="43" spans="2:5">
      <c r="B43" s="55"/>
      <c r="C43" s="171" t="s">
        <v>31</v>
      </c>
      <c r="D43" s="171"/>
      <c r="E43" s="169"/>
    </row>
    <row r="44" spans="2:5">
      <c r="B44" s="55"/>
      <c r="C44" s="170" t="s">
        <v>38</v>
      </c>
      <c r="D44" s="170"/>
      <c r="E44" s="169"/>
    </row>
    <row r="45" spans="2:5">
      <c r="B45" s="55"/>
      <c r="C45" s="170" t="s">
        <v>5</v>
      </c>
      <c r="D45" s="171"/>
      <c r="E45" s="169"/>
    </row>
    <row r="46" spans="2:5">
      <c r="B46" s="55"/>
      <c r="C46" s="170" t="s">
        <v>83</v>
      </c>
      <c r="D46" s="170"/>
      <c r="E46" s="169"/>
    </row>
    <row r="47" spans="2:5">
      <c r="B47" s="55"/>
      <c r="C47" s="170" t="s">
        <v>39</v>
      </c>
      <c r="D47" s="170"/>
      <c r="E47" s="169"/>
    </row>
    <row r="48" spans="2:5">
      <c r="B48" s="55"/>
      <c r="C48" s="170" t="s">
        <v>40</v>
      </c>
      <c r="D48" s="170"/>
      <c r="E48" s="169"/>
    </row>
    <row r="49" spans="2:5">
      <c r="B49" s="55"/>
      <c r="C49" s="170" t="s">
        <v>84</v>
      </c>
      <c r="D49" s="170"/>
      <c r="E49" s="169"/>
    </row>
    <row r="50" spans="2:5">
      <c r="B50" s="55"/>
      <c r="C50" s="170" t="s">
        <v>19</v>
      </c>
      <c r="D50" s="171"/>
      <c r="E50" s="169"/>
    </row>
    <row r="51" spans="2:5">
      <c r="B51" s="55"/>
      <c r="C51" s="171" t="s">
        <v>101</v>
      </c>
      <c r="D51" s="170"/>
      <c r="E51" s="169"/>
    </row>
    <row r="52" spans="2:5">
      <c r="B52" s="55"/>
      <c r="C52" s="170" t="s">
        <v>102</v>
      </c>
      <c r="D52" s="170"/>
      <c r="E52" s="169"/>
    </row>
    <row r="53" spans="2:5">
      <c r="B53" s="55"/>
      <c r="C53" s="170" t="s">
        <v>89</v>
      </c>
      <c r="D53" s="170"/>
      <c r="E53" s="169"/>
    </row>
    <row r="54" spans="2:5">
      <c r="B54" s="55"/>
      <c r="C54" s="171" t="s">
        <v>18</v>
      </c>
      <c r="D54" s="171"/>
      <c r="E54" s="169"/>
    </row>
    <row r="55" spans="2:5">
      <c r="B55" s="55"/>
      <c r="C55" s="170" t="s">
        <v>98</v>
      </c>
    </row>
    <row r="56" spans="2:5">
      <c r="B56" s="55"/>
      <c r="C56" s="170" t="s">
        <v>94</v>
      </c>
    </row>
    <row r="57" spans="2:5">
      <c r="B57" s="55"/>
      <c r="C57" s="170" t="s">
        <v>85</v>
      </c>
    </row>
    <row r="58" spans="2:5">
      <c r="B58" s="55"/>
      <c r="C58" s="171" t="s">
        <v>16</v>
      </c>
    </row>
    <row r="59" spans="2:5">
      <c r="B59" s="55"/>
      <c r="C59" s="170" t="s">
        <v>97</v>
      </c>
    </row>
    <row r="60" spans="2:5">
      <c r="B60" s="55"/>
      <c r="C60" s="170" t="s">
        <v>36</v>
      </c>
    </row>
    <row r="61" spans="2:5">
      <c r="B61" s="55"/>
      <c r="C61" s="171" t="s">
        <v>86</v>
      </c>
    </row>
    <row r="62" spans="2:5">
      <c r="B62" s="55"/>
      <c r="C62" s="170" t="s">
        <v>99</v>
      </c>
    </row>
    <row r="63" spans="2:5">
      <c r="B63" s="55"/>
      <c r="C63" s="171" t="s">
        <v>93</v>
      </c>
    </row>
    <row r="64" spans="2:5">
      <c r="B64" s="55"/>
      <c r="C64" s="170" t="s">
        <v>14</v>
      </c>
    </row>
    <row r="65" spans="2:3">
      <c r="B65" s="55"/>
      <c r="C65" s="170" t="s">
        <v>61</v>
      </c>
    </row>
    <row r="66" spans="2:3">
      <c r="B66" s="55"/>
      <c r="C66" s="170" t="s">
        <v>95</v>
      </c>
    </row>
    <row r="67" spans="2:3">
      <c r="B67" s="55"/>
      <c r="C67" s="171" t="s">
        <v>17</v>
      </c>
    </row>
    <row r="68" spans="2:3">
      <c r="B68" s="55"/>
      <c r="C68" s="170" t="s">
        <v>46</v>
      </c>
    </row>
    <row r="69" spans="2:3">
      <c r="B69" s="55"/>
      <c r="C69" s="170" t="s">
        <v>12</v>
      </c>
    </row>
    <row r="70" spans="2:3">
      <c r="B70" s="55"/>
      <c r="C70" s="171" t="s">
        <v>3</v>
      </c>
    </row>
    <row r="71" spans="2:3">
      <c r="B71" s="55"/>
      <c r="C71" s="170" t="s">
        <v>76</v>
      </c>
    </row>
    <row r="72" spans="2:3">
      <c r="B72" s="55"/>
      <c r="C72" s="170" t="s">
        <v>37</v>
      </c>
    </row>
    <row r="73" spans="2:3">
      <c r="B73" s="55"/>
      <c r="C73" s="170"/>
    </row>
    <row r="74" spans="2:3" ht="13.5" customHeight="1">
      <c r="B74" s="55"/>
      <c r="C74" s="291"/>
    </row>
    <row r="75" spans="2:3">
      <c r="B75" s="55"/>
      <c r="C75" s="275"/>
    </row>
    <row r="76" spans="2:3" ht="30.75" customHeight="1">
      <c r="B76" s="16"/>
      <c r="C76" s="322" t="s">
        <v>53</v>
      </c>
    </row>
    <row r="77" spans="2:3">
      <c r="B77" s="55"/>
      <c r="C77" s="171" t="s">
        <v>1</v>
      </c>
    </row>
    <row r="78" spans="2:3">
      <c r="B78" s="55"/>
      <c r="C78" s="170" t="s">
        <v>1</v>
      </c>
    </row>
    <row r="79" spans="2:3">
      <c r="B79" s="55"/>
      <c r="C79" s="171" t="s">
        <v>13</v>
      </c>
    </row>
    <row r="80" spans="2:3">
      <c r="B80" s="55"/>
      <c r="C80" s="170" t="s">
        <v>68</v>
      </c>
    </row>
    <row r="81" spans="2:3">
      <c r="B81" s="55"/>
      <c r="C81" s="170" t="s">
        <v>90</v>
      </c>
    </row>
    <row r="82" spans="2:3">
      <c r="B82" s="55"/>
      <c r="C82" s="170" t="s">
        <v>69</v>
      </c>
    </row>
    <row r="83" spans="2:3">
      <c r="B83" s="55"/>
      <c r="C83" s="170" t="s">
        <v>79</v>
      </c>
    </row>
    <row r="84" spans="2:3">
      <c r="B84" s="55"/>
      <c r="C84" s="170" t="s">
        <v>100</v>
      </c>
    </row>
    <row r="85" spans="2:3">
      <c r="B85" s="55"/>
      <c r="C85" s="171" t="s">
        <v>32</v>
      </c>
    </row>
    <row r="86" spans="2:3">
      <c r="B86" s="55"/>
      <c r="C86" s="170" t="s">
        <v>78</v>
      </c>
    </row>
    <row r="87" spans="2:3">
      <c r="B87" s="55"/>
      <c r="C87" s="170" t="s">
        <v>67</v>
      </c>
    </row>
    <row r="88" spans="2:3">
      <c r="B88" s="55"/>
      <c r="C88" s="171" t="s">
        <v>88</v>
      </c>
    </row>
    <row r="89" spans="2:3">
      <c r="B89" s="55"/>
      <c r="C89" s="170" t="s">
        <v>7</v>
      </c>
    </row>
    <row r="90" spans="2:3">
      <c r="B90" s="55"/>
      <c r="C90" s="170" t="s">
        <v>6</v>
      </c>
    </row>
    <row r="91" spans="2:3">
      <c r="B91" s="55"/>
      <c r="C91" s="170" t="s">
        <v>91</v>
      </c>
    </row>
    <row r="92" spans="2:3">
      <c r="B92" s="55"/>
      <c r="C92" s="170" t="s">
        <v>74</v>
      </c>
    </row>
    <row r="93" spans="2:3">
      <c r="B93" s="55"/>
      <c r="C93" s="171" t="s">
        <v>19</v>
      </c>
    </row>
    <row r="94" spans="2:3">
      <c r="B94" s="55"/>
      <c r="C94" s="170" t="s">
        <v>70</v>
      </c>
    </row>
    <row r="95" spans="2:3">
      <c r="B95" s="55"/>
      <c r="C95" s="171" t="s">
        <v>16</v>
      </c>
    </row>
    <row r="96" spans="2:3">
      <c r="B96" s="55"/>
      <c r="C96" s="170" t="s">
        <v>73</v>
      </c>
    </row>
    <row r="97" spans="2:3">
      <c r="B97" s="55"/>
      <c r="C97" s="170" t="s">
        <v>15</v>
      </c>
    </row>
    <row r="98" spans="2:3">
      <c r="B98" s="55"/>
      <c r="C98" s="170" t="s">
        <v>72</v>
      </c>
    </row>
    <row r="99" spans="2:3">
      <c r="B99" s="55"/>
      <c r="C99" s="171" t="s">
        <v>14</v>
      </c>
    </row>
    <row r="100" spans="2:3">
      <c r="B100" s="55"/>
      <c r="C100" s="170" t="s">
        <v>71</v>
      </c>
    </row>
    <row r="101" spans="2:3">
      <c r="B101" s="55"/>
      <c r="C101" s="171" t="s">
        <v>17</v>
      </c>
    </row>
    <row r="102" spans="2:3">
      <c r="B102" s="55"/>
      <c r="C102" s="354" t="s">
        <v>82</v>
      </c>
    </row>
    <row r="103" spans="2:3">
      <c r="B103" s="55"/>
      <c r="C103" s="170" t="s">
        <v>81</v>
      </c>
    </row>
    <row r="104" spans="2:3">
      <c r="B104" s="55"/>
      <c r="C104" s="170" t="s">
        <v>87</v>
      </c>
    </row>
    <row r="105" spans="2:3">
      <c r="B105" s="55"/>
      <c r="C105" s="170" t="s">
        <v>80</v>
      </c>
    </row>
    <row r="106" spans="2:3">
      <c r="B106" s="55"/>
      <c r="C106" s="170" t="s">
        <v>47</v>
      </c>
    </row>
    <row r="107" spans="2:3">
      <c r="B107" s="55"/>
      <c r="C107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S24" sqref="S24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20" sqref="A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27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(january-february)</v>
      </c>
      <c r="B3" s="217" t="s">
        <v>28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(january-february)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(february)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(january-february)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(january-february)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(january-february)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(january-february)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(january-february)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(january-february)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(january-february)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(january-february)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(february)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Table XIII- Accounts payable of the Regional Administration, february (accumulated)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Table XIV - Accounts payable of the Regional Gov., february (accumulated)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Table XV - Accounts payable of the ASFs, february (accumulated)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Table XVI - Accounts payable of the RPEs, february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Índice!B43" display="Índice!B43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Índice!B32" display="Índice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topLeftCell="A2" zoomScale="120" zoomScaleNormal="120" zoomScalePageLayoutView="125" workbookViewId="0">
      <selection activeCell="B2" sqref="B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(janeiro-fevereiro)","TABLE I - Consolidated budget execution (january-february)")</f>
        <v>TABLE I - Consolidated budget execution (january-february)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2023","Consolidated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f>+[2]Consolidado_Q1!M67</f>
        <v>177195.65312999996</v>
      </c>
      <c r="E5" s="57">
        <f>+[2]Consolidado_Q1!N67</f>
        <v>61850.507890000008</v>
      </c>
      <c r="F5" s="57">
        <f>+[2]Consolidado_Q1!O67</f>
        <v>40414.840489999995</v>
      </c>
      <c r="G5" s="57">
        <f>+[2]Consolidado_Q1!P67</f>
        <v>202347.84560999999</v>
      </c>
      <c r="H5" s="57">
        <f>+[2]Consolidado_Q1!R67</f>
        <v>13.512616601693583</v>
      </c>
    </row>
    <row r="6" spans="1:10" ht="11.25" customHeight="1">
      <c r="C6" s="68" t="str">
        <f>+IF(Índice!$D$2=1,"Impostos diretos","Direct taxes")</f>
        <v>Direct taxes</v>
      </c>
      <c r="D6" s="56">
        <f>+[2]Consolidado_Q1!M68</f>
        <v>27005.471799999999</v>
      </c>
      <c r="E6" s="56">
        <f>+[2]Consolidado_Q1!N68</f>
        <v>0</v>
      </c>
      <c r="F6" s="56">
        <f>+[2]Consolidado_Q1!O68</f>
        <v>0</v>
      </c>
      <c r="G6" s="56">
        <f>+[2]Consolidado_Q1!P68</f>
        <v>27005.471799999999</v>
      </c>
      <c r="H6" s="56">
        <f>+[2]Consolidado_Q1!R68</f>
        <v>1.8601570007726442</v>
      </c>
    </row>
    <row r="7" spans="1:10">
      <c r="C7" s="68" t="str">
        <f>+IF(Índice!$D$2=1,"Impostos indiretos","Indirect taxes")</f>
        <v>Indirect taxes</v>
      </c>
      <c r="D7" s="56">
        <f>+[2]Consolidado_Q1!M69</f>
        <v>99958.461719999963</v>
      </c>
      <c r="E7" s="56">
        <f>+[2]Consolidado_Q1!N69</f>
        <v>0</v>
      </c>
      <c r="F7" s="56">
        <f>+[2]Consolidado_Q1!O69</f>
        <v>0</v>
      </c>
      <c r="G7" s="56">
        <f>+[2]Consolidado_Q1!P69</f>
        <v>99958.461719999963</v>
      </c>
      <c r="H7" s="56">
        <f>+[2]Consolidado_Q1!R69</f>
        <v>15.616875346093062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f>+[2]Consolidado_Q1!M70</f>
        <v>0</v>
      </c>
      <c r="E8" s="56">
        <f>+[2]Consolidado_Q1!N70</f>
        <v>0</v>
      </c>
      <c r="F8" s="56">
        <f>+[2]Consolidado_Q1!O70</f>
        <v>0</v>
      </c>
      <c r="G8" s="56">
        <f>+[2]Consolidado_Q1!P70</f>
        <v>0</v>
      </c>
      <c r="H8" s="56">
        <f>+[2]Consolidado_Q1!R70</f>
        <v>0</v>
      </c>
    </row>
    <row r="9" spans="1:10">
      <c r="C9" s="68" t="str">
        <f>+IF(Índice!$D$2=1,"Outras receitas correntes","Other current revenues")</f>
        <v>Other current revenues</v>
      </c>
      <c r="D9" s="56">
        <f>+[2]Consolidado_Q1!M71</f>
        <v>50231.719610000007</v>
      </c>
      <c r="E9" s="56">
        <f>+[2]Consolidado_Q1!N71</f>
        <v>61850.507890000008</v>
      </c>
      <c r="F9" s="56">
        <f>+[2]Consolidado_Q1!O71</f>
        <v>40414.840489999995</v>
      </c>
      <c r="G9" s="56">
        <f>+[2]Consolidado_Q1!P71</f>
        <v>62852.27459999999</v>
      </c>
      <c r="H9" s="56">
        <f>+[2]Consolidado_Q1!R71</f>
        <v>1.2001180396033817</v>
      </c>
    </row>
    <row r="10" spans="1:10">
      <c r="C10" s="69" t="str">
        <f>+IF(Índice!$D$2=1,"Transferências correntes","Current transfers")</f>
        <v>Current transfers</v>
      </c>
      <c r="D10" s="56">
        <f>+[2]Consolidado_Q1!M72</f>
        <v>45403.528540000007</v>
      </c>
      <c r="E10" s="56">
        <f>+[2]Consolidado_Q1!N72</f>
        <v>60613.253730000004</v>
      </c>
      <c r="F10" s="56">
        <f>+[2]Consolidado_Q1!O72</f>
        <v>34875.862099999998</v>
      </c>
      <c r="G10" s="56">
        <f>+[2]Consolidado_Q1!P72</f>
        <v>51247.850979999974</v>
      </c>
      <c r="H10" s="56">
        <f>+[2]Consolidado_Q1!R72</f>
        <v>-1.0345063954016687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f>+[2]Consolidado_Q1!M73</f>
        <v>45312.554100000001</v>
      </c>
      <c r="E11" s="56">
        <f>+[2]Consolidado_Q1!N73</f>
        <v>294.56554</v>
      </c>
      <c r="F11" s="56">
        <f>+[2]Consolidado_Q1!O73</f>
        <v>120.90817</v>
      </c>
      <c r="G11" s="56">
        <f>+[2]Consolidado_Q1!P73</f>
        <v>45728.02781</v>
      </c>
      <c r="H11" s="56">
        <f>+[2]Consolidado_Q1!R73</f>
        <v>-2.6058991762679673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f>+[2]Consolidado_Q1!M74</f>
        <v>0</v>
      </c>
      <c r="E12" s="56">
        <f>+[2]Consolidado_Q1!N74</f>
        <v>55257.014710000018</v>
      </c>
      <c r="F12" s="56">
        <f>+[2]Consolidado_Q1!O74</f>
        <v>34387.778680000003</v>
      </c>
      <c r="G12" s="56">
        <f>+[2]Consolidado_Q1!P74</f>
        <v>0</v>
      </c>
      <c r="H12" s="56">
        <f>+[2]Consolidado_Q1!R74</f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f>+[2]Consolidado_Q1!M75</f>
        <v>0</v>
      </c>
      <c r="E13" s="56">
        <f>+[2]Consolidado_Q1!N75</f>
        <v>0</v>
      </c>
      <c r="F13" s="56">
        <f>+[2]Consolidado_Q1!O75</f>
        <v>0</v>
      </c>
      <c r="G13" s="56">
        <f>+[2]Consolidado_Q1!P75</f>
        <v>12531.637490000016</v>
      </c>
      <c r="H13" s="56">
        <f>+[2]Consolidado_Q1!R75</f>
        <v>0</v>
      </c>
    </row>
    <row r="14" spans="1:10">
      <c r="C14" s="57" t="str">
        <f>+IF(Índice!$D$2=1,"Receita de capital","Capital revenue")</f>
        <v>Capital revenue</v>
      </c>
      <c r="D14" s="57">
        <f>+[2]Consolidado_Q1!M76</f>
        <v>14367.008060000002</v>
      </c>
      <c r="E14" s="57">
        <f>+[2]Consolidado_Q1!N76</f>
        <v>6852.4982799999998</v>
      </c>
      <c r="F14" s="57">
        <f>+[2]Consolidado_Q1!O76</f>
        <v>948.76168999999993</v>
      </c>
      <c r="G14" s="57">
        <f>+[2]Consolidado_Q1!P76</f>
        <v>16443.611090000002</v>
      </c>
      <c r="H14" s="57">
        <f>+[2]Consolidado_Q1!R76</f>
        <v>3.5940343948014819</v>
      </c>
    </row>
    <row r="15" spans="1:10">
      <c r="C15" s="68" t="str">
        <f>+IF(Índice!$D$2=1,"Venda de bens de investimento","Sale of investment goods")</f>
        <v>Sale of investment goods</v>
      </c>
      <c r="D15" s="56">
        <f>+[2]Consolidado_Q1!M77</f>
        <v>131.72499999999999</v>
      </c>
      <c r="E15" s="56">
        <f>+[2]Consolidado_Q1!N77</f>
        <v>0</v>
      </c>
      <c r="F15" s="56">
        <f>+[2]Consolidado_Q1!O77</f>
        <v>1.27603</v>
      </c>
      <c r="G15" s="56">
        <f>+[2]Consolidado_Q1!P77</f>
        <v>133.00102999999999</v>
      </c>
      <c r="H15" s="56">
        <f>+[2]Consolidado_Q1!R77</f>
        <v>-89.097767220344963</v>
      </c>
    </row>
    <row r="16" spans="1:10" ht="11.25" customHeight="1">
      <c r="C16" s="68" t="str">
        <f>+IF(Índice!$D$2=1,"Transferências capital","Capital transfers")</f>
        <v>Capital transfers</v>
      </c>
      <c r="D16" s="56">
        <f>+[2]Consolidado_Q1!M78</f>
        <v>12732.561790000002</v>
      </c>
      <c r="E16" s="56">
        <f>+[2]Consolidado_Q1!N78</f>
        <v>6838.7145700000001</v>
      </c>
      <c r="F16" s="56">
        <f>+[2]Consolidado_Q1!O78</f>
        <v>931.06898999999999</v>
      </c>
      <c r="G16" s="56">
        <f>+[2]Consolidado_Q1!P78</f>
        <v>14721.599970000003</v>
      </c>
      <c r="H16" s="56">
        <f>+[2]Consolidado_Q1!R78</f>
        <v>9.4155917805758271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f>+[2]Consolidado_Q1!M79</f>
        <v>11327.24525</v>
      </c>
      <c r="E17" s="56">
        <f>+[2]Consolidado_Q1!N79</f>
        <v>0</v>
      </c>
      <c r="F17" s="56">
        <f>+[2]Consolidado_Q1!O79</f>
        <v>0</v>
      </c>
      <c r="G17" s="56">
        <f>+[2]Consolidado_Q1!P79</f>
        <v>11327.24525</v>
      </c>
      <c r="H17" s="56">
        <f>+[2]Consolidado_Q1!R79</f>
        <v>-2.4607755840849399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f>+[2]Consolidado_Q1!M80</f>
        <v>0</v>
      </c>
      <c r="E18" s="56">
        <f>+[2]Consolidado_Q1!N80</f>
        <v>5057.4097699999993</v>
      </c>
      <c r="F18" s="56">
        <f>+[2]Consolidado_Q1!O80</f>
        <v>723.33560999999997</v>
      </c>
      <c r="G18" s="56">
        <f>+[2]Consolidado_Q1!P80</f>
        <v>0</v>
      </c>
      <c r="H18" s="56">
        <f>+[2]Consolidado_Q1!R80</f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f>+[2]Consolidado_Q1!M81</f>
        <v>0</v>
      </c>
      <c r="E19" s="56">
        <f>+[2]Consolidado_Q1!N81</f>
        <v>0</v>
      </c>
      <c r="F19" s="56">
        <f>+[2]Consolidado_Q1!O81</f>
        <v>0</v>
      </c>
      <c r="G19" s="56">
        <f>+[2]Consolidado_Q1!P81</f>
        <v>56.088439999999693</v>
      </c>
      <c r="H19" s="56">
        <f>+[2]Consolidado_Q1!R81</f>
        <v>0</v>
      </c>
    </row>
    <row r="20" spans="3:8">
      <c r="C20" s="57" t="str">
        <f>+IF(Índice!$D$2=1,"Receita efetiva","Effective revenue")</f>
        <v>Effective revenue</v>
      </c>
      <c r="D20" s="57">
        <f>+[2]Consolidado_Q1!M82</f>
        <v>191562.66118999996</v>
      </c>
      <c r="E20" s="57">
        <f>+[2]Consolidado_Q1!N82</f>
        <v>68703.006170000008</v>
      </c>
      <c r="F20" s="57">
        <f>+[2]Consolidado_Q1!O82</f>
        <v>41363.602179999994</v>
      </c>
      <c r="G20" s="57">
        <f>+[2]Consolidado_Q1!P82</f>
        <v>218791.45669999998</v>
      </c>
      <c r="H20" s="57">
        <f>+[2]Consolidado_Q1!R82</f>
        <v>12.701633327299966</v>
      </c>
    </row>
    <row r="21" spans="3:8" ht="20.25" customHeight="1">
      <c r="C21" s="220" t="str">
        <f>+IF(Índice!$D$2=1,"Despesa corrente","Current expenditure")</f>
        <v>Current expenditure</v>
      </c>
      <c r="D21" s="220">
        <f>+[2]Consolidado_Q1!M83</f>
        <v>165887.04620999991</v>
      </c>
      <c r="E21" s="220">
        <f>+[2]Consolidado_Q1!N83</f>
        <v>54378.583659999989</v>
      </c>
      <c r="F21" s="220">
        <f>+[2]Consolidado_Q1!O83</f>
        <v>40279.944720000014</v>
      </c>
      <c r="G21" s="220">
        <f>+[2]Consolidado_Q1!P83</f>
        <v>183432.3997699999</v>
      </c>
      <c r="H21" s="220">
        <f>+[2]Consolidado_Q1!R83</f>
        <v>1.550388612798681</v>
      </c>
    </row>
    <row r="22" spans="3:8" ht="10.5" customHeight="1">
      <c r="C22" s="68" t="str">
        <f>+IF(Índice!$D$2=1,"Consumo público","Public consumption")</f>
        <v>Public consumption</v>
      </c>
      <c r="D22" s="56">
        <f>+[2]Consolidado_Q1!M84</f>
        <v>91002.201629999952</v>
      </c>
      <c r="E22" s="56">
        <f>+[2]Consolidado_Q1!N84</f>
        <v>16647.079690000002</v>
      </c>
      <c r="F22" s="56">
        <f>+[2]Consolidado_Q1!O84</f>
        <v>38151.162780000013</v>
      </c>
      <c r="G22" s="56">
        <f>+[2]Consolidado_Q1!P84</f>
        <v>145800.44409999996</v>
      </c>
      <c r="H22" s="56">
        <f>+[2]Consolidado_Q1!R84</f>
        <v>4.0458240528001843</v>
      </c>
    </row>
    <row r="23" spans="3:8">
      <c r="C23" s="69" t="str">
        <f>+IF(Índice!$D$2=1,"Despesas com o pessoal","Compensation of employees")</f>
        <v>Compensation of employees</v>
      </c>
      <c r="D23" s="56">
        <f>+[2]Consolidado_Q1!M85</f>
        <v>57055.606709999942</v>
      </c>
      <c r="E23" s="56">
        <f>+[2]Consolidado_Q1!N85</f>
        <v>6824.8195799999985</v>
      </c>
      <c r="F23" s="56">
        <f>+[2]Consolidado_Q1!O85</f>
        <v>34754.317450000017</v>
      </c>
      <c r="G23" s="56">
        <f>+[2]Consolidado_Q1!P85</f>
        <v>98634.743739999947</v>
      </c>
      <c r="H23" s="56">
        <f>+[2]Consolidado_Q1!R85</f>
        <v>5.0744486174819858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f>+[2]Consolidado_Q1!M86</f>
        <v>33946.59492000001</v>
      </c>
      <c r="E24" s="56">
        <f>+[2]Consolidado_Q1!N86</f>
        <v>9822.2601100000029</v>
      </c>
      <c r="F24" s="56">
        <f>+[2]Consolidado_Q1!O86</f>
        <v>3396.8453300000001</v>
      </c>
      <c r="G24" s="56">
        <f>+[2]Consolidado_Q1!P86</f>
        <v>47165.700360000017</v>
      </c>
      <c r="H24" s="56">
        <f>+[2]Consolidado_Q1!R86</f>
        <v>1.9585142955788726</v>
      </c>
    </row>
    <row r="25" spans="3:8">
      <c r="C25" s="68" t="str">
        <f>+IF(Índice!$D$2=1,"Subsídios","Subsidies")</f>
        <v>Subsidies</v>
      </c>
      <c r="D25" s="56">
        <f>+[2]Consolidado_Q1!M87</f>
        <v>4447.4019800000005</v>
      </c>
      <c r="E25" s="56">
        <f>+[2]Consolidado_Q1!N87</f>
        <v>706.27884999999992</v>
      </c>
      <c r="F25" s="56">
        <f>+[2]Consolidado_Q1!O87</f>
        <v>0</v>
      </c>
      <c r="G25" s="56">
        <f>+[2]Consolidado_Q1!P87</f>
        <v>5153.6619099999998</v>
      </c>
      <c r="H25" s="56">
        <f>+[2]Consolidado_Q1!R87</f>
        <v>70.201823562360843</v>
      </c>
    </row>
    <row r="26" spans="3:8">
      <c r="C26" s="68" t="str">
        <f>+IF(Índice!$D$2=1,"Juros e outros encargos","Interests and other charges")</f>
        <v>Interests and other charges</v>
      </c>
      <c r="D26" s="56">
        <f>+[2]Consolidado_Q1!M88</f>
        <v>18561.6603</v>
      </c>
      <c r="E26" s="56">
        <f>+[2]Consolidado_Q1!N88</f>
        <v>0.95764000000000005</v>
      </c>
      <c r="F26" s="56">
        <f>+[2]Consolidado_Q1!O88</f>
        <v>71.499290000000016</v>
      </c>
      <c r="G26" s="56">
        <f>+[2]Consolidado_Q1!P88</f>
        <v>18634.11723</v>
      </c>
      <c r="H26" s="56">
        <f>+[2]Consolidado_Q1!R88</f>
        <v>12.358823434475319</v>
      </c>
    </row>
    <row r="27" spans="3:8">
      <c r="C27" s="68" t="str">
        <f>+IF(Índice!$D$2=1,"Transferências correntes","Current transfers")</f>
        <v>Current transfers</v>
      </c>
      <c r="D27" s="56">
        <f>+[2]Consolidado_Q1!M89</f>
        <v>51875.78229999997</v>
      </c>
      <c r="E27" s="56">
        <f>+[2]Consolidado_Q1!N89</f>
        <v>37024.267479999988</v>
      </c>
      <c r="F27" s="56">
        <f>+[2]Consolidado_Q1!O89</f>
        <v>2057.2826500000001</v>
      </c>
      <c r="G27" s="56">
        <f>+[2]Consolidado_Q1!P89</f>
        <v>13844.176529999939</v>
      </c>
      <c r="H27" s="56">
        <f>+[2]Consolidado_Q1!R89</f>
        <v>-33.723357290338321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f>+[2]Consolidado_Q1!M90</f>
        <v>0</v>
      </c>
      <c r="E28" s="56">
        <f>+[2]Consolidado_Q1!N90</f>
        <v>296.00664999999998</v>
      </c>
      <c r="F28" s="56">
        <f>+[2]Consolidado_Q1!O90</f>
        <v>0</v>
      </c>
      <c r="G28" s="56">
        <f>+[2]Consolidado_Q1!P90</f>
        <v>296.00664999999998</v>
      </c>
      <c r="H28" s="56">
        <f>+[2]Consolidado_Q1!R90</f>
        <v>-22.22889450620702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f>+[2]Consolidado_Q1!M91</f>
        <v>44489.738900000004</v>
      </c>
      <c r="E29" s="56">
        <f>+[2]Consolidado_Q1!N91</f>
        <v>32623.417000000001</v>
      </c>
      <c r="F29" s="56">
        <f>+[2]Consolidado_Q1!O91</f>
        <v>0</v>
      </c>
      <c r="G29" s="56">
        <f>+[2]Consolidado_Q1!P91</f>
        <v>0</v>
      </c>
      <c r="H29" s="56">
        <f>+[2]Consolidado_Q1!R91</f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f>+[2]Consolidado_Q1!M92</f>
        <v>0</v>
      </c>
      <c r="E30" s="56">
        <f>+[2]Consolidado_Q1!N92</f>
        <v>0</v>
      </c>
      <c r="F30" s="56">
        <f>+[2]Consolidado_Q1!O92</f>
        <v>0</v>
      </c>
      <c r="G30" s="56">
        <f>+[2]Consolidado_Q1!P92</f>
        <v>0</v>
      </c>
      <c r="H30" s="56">
        <f>+[2]Consolidado_Q1!R92</f>
        <v>0</v>
      </c>
    </row>
    <row r="31" spans="3:8">
      <c r="C31" s="57" t="str">
        <f>+IF(Índice!$D$2=1,"Despesa de capital","Capital expenditure")</f>
        <v>Capital expenditure</v>
      </c>
      <c r="D31" s="57">
        <f>+[2]Consolidado_Q1!M93</f>
        <v>14978.655149999997</v>
      </c>
      <c r="E31" s="57">
        <f>+[2]Consolidado_Q1!N93</f>
        <v>5160.1240800000005</v>
      </c>
      <c r="F31" s="57">
        <f>+[2]Consolidado_Q1!O93</f>
        <v>975.4648900000002</v>
      </c>
      <c r="G31" s="57">
        <f>+[2]Consolidado_Q1!P93</f>
        <v>15389.587179999995</v>
      </c>
      <c r="H31" s="57">
        <f>+[2]Consolidado_Q1!R93</f>
        <v>271.66136574952657</v>
      </c>
    </row>
    <row r="32" spans="3:8">
      <c r="C32" s="68" t="str">
        <f>+IF(Índice!$D$2=1,"Investimento","Investment")</f>
        <v>Investment</v>
      </c>
      <c r="D32" s="56">
        <f>+[2]Consolidado_Q1!M94</f>
        <v>8123.1492299999973</v>
      </c>
      <c r="E32" s="56">
        <f>+[2]Consolidado_Q1!N94</f>
        <v>11.81376</v>
      </c>
      <c r="F32" s="56">
        <f>+[2]Consolidado_Q1!O94</f>
        <v>975.4648900000002</v>
      </c>
      <c r="G32" s="56">
        <f>+[2]Consolidado_Q1!P94</f>
        <v>9110.4278799999975</v>
      </c>
      <c r="H32" s="56">
        <f>+[2]Consolidado_Q1!R94</f>
        <v>400.50040988014564</v>
      </c>
    </row>
    <row r="33" spans="3:8">
      <c r="C33" s="68" t="str">
        <f>+IF(Índice!$D$2=1,"Transferências capital","Capital transfers")</f>
        <v>Capital transfers</v>
      </c>
      <c r="D33" s="56">
        <f>+[2]Consolidado_Q1!M95</f>
        <v>6855.5059199999996</v>
      </c>
      <c r="E33" s="56">
        <f>+[2]Consolidado_Q1!N95</f>
        <v>5148.3103200000005</v>
      </c>
      <c r="F33" s="56">
        <f>+[2]Consolidado_Q1!O95</f>
        <v>0</v>
      </c>
      <c r="G33" s="56">
        <f>+[2]Consolidado_Q1!P95</f>
        <v>6279.1593000000003</v>
      </c>
      <c r="H33" s="56">
        <f>+[2]Consolidado_Q1!R95</f>
        <v>179.2525961638446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f>+[2]Consolidado_Q1!M96</f>
        <v>1099.3473000000001</v>
      </c>
      <c r="E34" s="56">
        <f>+[2]Consolidado_Q1!N96</f>
        <v>0</v>
      </c>
      <c r="F34" s="56">
        <f>+[2]Consolidado_Q1!O96</f>
        <v>0</v>
      </c>
      <c r="G34" s="56">
        <f>+[2]Consolidado_Q1!P96</f>
        <v>1099.3473000000001</v>
      </c>
      <c r="H34" s="56">
        <f>+[2]Consolidado_Q1!R96</f>
        <v>-18.631729835274403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f>+[2]Consolidado_Q1!M97</f>
        <v>5716.4013299999997</v>
      </c>
      <c r="E35" s="56">
        <f>+[2]Consolidado_Q1!N97</f>
        <v>8.2556100000000008</v>
      </c>
      <c r="F35" s="56">
        <f>+[2]Consolidado_Q1!O97</f>
        <v>0</v>
      </c>
      <c r="G35" s="56">
        <f>+[2]Consolidado_Q1!P97</f>
        <v>0</v>
      </c>
      <c r="H35" s="56">
        <f>+[2]Consolidado_Q1!R97</f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f>+[2]Consolidado_Q1!M98</f>
        <v>0</v>
      </c>
      <c r="E36" s="56">
        <f>+[2]Consolidado_Q1!N98</f>
        <v>0</v>
      </c>
      <c r="F36" s="56">
        <f>+[2]Consolidado_Q1!O98</f>
        <v>0</v>
      </c>
      <c r="G36" s="56">
        <f>+[2]Consolidado_Q1!P98</f>
        <v>0</v>
      </c>
      <c r="H36" s="56">
        <f>+[2]Consolidado_Q1!R98</f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f>+[2]Consolidado_Q1!M100</f>
        <v>180865.70135999992</v>
      </c>
      <c r="E38" s="86">
        <f>+[2]Consolidado_Q1!N100</f>
        <v>59538.707739999991</v>
      </c>
      <c r="F38" s="86">
        <f>+[2]Consolidado_Q1!O100</f>
        <v>41255.409610000024</v>
      </c>
      <c r="G38" s="86">
        <f>+[2]Consolidado_Q1!P100</f>
        <v>198821.9869499999</v>
      </c>
      <c r="H38" s="86">
        <f>+[2]Consolidado_Q1!R100</f>
        <v>7.6035754404003564</v>
      </c>
    </row>
    <row r="39" spans="3:8" ht="17.25" customHeight="1">
      <c r="C39" s="138" t="str">
        <f>+IF(Índice!$D$2=1,"Saldo global","Overall balance")</f>
        <v>Overall balance</v>
      </c>
      <c r="D39" s="139">
        <f>+[2]Consolidado_Q1!M101</f>
        <v>10696.959830000036</v>
      </c>
      <c r="E39" s="139">
        <f>+[2]Consolidado_Q1!N101</f>
        <v>9164.2984300000171</v>
      </c>
      <c r="F39" s="139">
        <f>+[2]Consolidado_Q1!O101</f>
        <v>108.19256999997015</v>
      </c>
      <c r="G39" s="139">
        <f>+[2]Consolidado_Q1!P101</f>
        <v>19969.469750000077</v>
      </c>
      <c r="H39" s="139">
        <f>+[2]Consolidado_Q1!R101</f>
        <v>113.33326599500957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f>+[2]Consolidado_Q1!M103</f>
        <v>11308.606920000049</v>
      </c>
      <c r="E41" s="19">
        <f>+[2]Consolidado_Q1!N103</f>
        <v>7471.9242300000187</v>
      </c>
      <c r="F41" s="19">
        <f>+[2]Consolidado_Q1!O103</f>
        <v>134.89576999998098</v>
      </c>
      <c r="G41" s="19">
        <f>+[2]Consolidado_Q1!P103</f>
        <v>18915.445840000088</v>
      </c>
      <c r="H41" s="19">
        <f>+[2]Consolidado_Q1!R103</f>
        <v>897.55524699205228</v>
      </c>
    </row>
    <row r="42" spans="3:8">
      <c r="C42" s="68" t="str">
        <f>+IF(Índice!$D$2=1,"Despesa corrente primária","Primary current expenditure")</f>
        <v>Primary current expenditure</v>
      </c>
      <c r="D42" s="19">
        <f>+[2]Consolidado_Q1!M104</f>
        <v>147325.38590999992</v>
      </c>
      <c r="E42" s="19">
        <f>+[2]Consolidado_Q1!N104</f>
        <v>54377.626019999989</v>
      </c>
      <c r="F42" s="19">
        <f>+[2]Consolidado_Q1!O104</f>
        <v>40208.445430000014</v>
      </c>
      <c r="G42" s="19">
        <f>+[2]Consolidado_Q1!P104</f>
        <v>164798.2825399999</v>
      </c>
      <c r="H42" s="19">
        <f>+[2]Consolidado_Q1!R104</f>
        <v>0.4577035327207879</v>
      </c>
    </row>
    <row r="43" spans="3:8">
      <c r="C43" s="68" t="str">
        <f>+IF(Índice!$D$2=1,"Saldo corrente primário","Primary current balance")</f>
        <v>Primary current balance</v>
      </c>
      <c r="D43" s="19">
        <f>+[2]Consolidado_Q1!M105</f>
        <v>29870.267220000038</v>
      </c>
      <c r="E43" s="19">
        <f>+[2]Consolidado_Q1!N105</f>
        <v>7472.8818700000193</v>
      </c>
      <c r="F43" s="19">
        <f>+[2]Consolidado_Q1!O105</f>
        <v>206.39505999998073</v>
      </c>
      <c r="G43" s="19">
        <f>+[2]Consolidado_Q1!P105</f>
        <v>37549.563070000091</v>
      </c>
      <c r="H43" s="19">
        <f>+[2]Consolidado_Q1!R105</f>
        <v>164.19552081543856</v>
      </c>
    </row>
    <row r="44" spans="3:8">
      <c r="C44" s="68" t="str">
        <f>+IF(Índice!$D$2=1,"Saldo de capital","Capital balance")</f>
        <v>Capital balance</v>
      </c>
      <c r="D44" s="19">
        <f>+[2]Consolidado_Q1!M106</f>
        <v>-611.64708999999493</v>
      </c>
      <c r="E44" s="19">
        <f>+[2]Consolidado_Q1!N106</f>
        <v>1692.3741999999993</v>
      </c>
      <c r="F44" s="19">
        <f>+[2]Consolidado_Q1!O106</f>
        <v>-26.703200000000265</v>
      </c>
      <c r="G44" s="19">
        <f>+[2]Consolidado_Q1!P106</f>
        <v>1054.0239100000072</v>
      </c>
      <c r="H44" s="19">
        <f>+[2]Consolidado_Q1!R106</f>
        <v>-91.016104338213324</v>
      </c>
    </row>
    <row r="45" spans="3:8">
      <c r="C45" s="68" t="str">
        <f t="array" ref="C45">+IF(Índice!$D$2=1,"Despesa primária","Primary expenditure")</f>
        <v>Primary expenditure</v>
      </c>
      <c r="D45" s="19">
        <f>+[2]Consolidado_Q1!M107</f>
        <v>162304.04105999993</v>
      </c>
      <c r="E45" s="19">
        <f>+[2]Consolidado_Q1!N107</f>
        <v>59537.75009999999</v>
      </c>
      <c r="F45" s="19">
        <f>+[2]Consolidado_Q1!O107</f>
        <v>41183.910320000025</v>
      </c>
      <c r="G45" s="19">
        <f>+[2]Consolidado_Q1!P107</f>
        <v>180187.8697199999</v>
      </c>
      <c r="H45" s="19">
        <f>+[2]Consolidado_Q1!R107</f>
        <v>7.1346764226405845</v>
      </c>
    </row>
    <row r="46" spans="3:8">
      <c r="C46" s="221" t="str">
        <f>+IF(Índice!$D$2=1,"Saldo primário","Primary balance")</f>
        <v>Primary balance</v>
      </c>
      <c r="D46" s="132">
        <f>+[2]Consolidado_Q1!M108</f>
        <v>29258.620130000025</v>
      </c>
      <c r="E46" s="132">
        <f>+[2]Consolidado_Q1!N108</f>
        <v>9165.2560700000176</v>
      </c>
      <c r="F46" s="132">
        <f>+[2]Consolidado_Q1!O108</f>
        <v>179.69185999996989</v>
      </c>
      <c r="G46" s="132">
        <f>+[2]Consolidado_Q1!P108</f>
        <v>38603.58698000008</v>
      </c>
      <c r="H46" s="132">
        <f>+[2]Consolidado_Q1!R108</f>
        <v>48.789144808151796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(janeiro-fevereiro)","TABLE II - Regional Gov. budget execution (january-february)")</f>
        <v>TABLE II - Regional Gov. budget execution (january-february)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f>+[2]Global_Est_Q2_3!D8</f>
        <v>163463.62080999999</v>
      </c>
      <c r="E5" s="225">
        <f>+[2]Global_Est_Q2_3!E8</f>
        <v>177195.65312999996</v>
      </c>
      <c r="F5" s="225">
        <f>+[2]Global_Est_Q2_3!F8</f>
        <v>8.4006656967186899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f>+[2]Global_Est_Q2_3!D9</f>
        <v>112968.93792999999</v>
      </c>
      <c r="E6" s="231">
        <f>+[2]Global_Est_Q2_3!E9</f>
        <v>126963.93351999996</v>
      </c>
      <c r="F6" s="231">
        <f>+[2]Global_Est_Q2_3!F9</f>
        <v>12.388357230260794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f>+[2]Global_Est_Q2_3!D10</f>
        <v>26512.301369999997</v>
      </c>
      <c r="E7" s="231">
        <f>+[2]Global_Est_Q2_3!E10</f>
        <v>27005.471799999999</v>
      </c>
      <c r="F7" s="231">
        <f>+[2]Global_Est_Q2_3!F10</f>
        <v>1.8601570007726664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f>+[2]Global_Est_Q2_3!D11</f>
        <v>86456.636559999984</v>
      </c>
      <c r="E8" s="231">
        <f>+[2]Global_Est_Q2_3!E11</f>
        <v>99958.461719999963</v>
      </c>
      <c r="F8" s="231">
        <f>+[2]Global_Est_Q2_3!F11</f>
        <v>15.616875346093128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f>+[2]Global_Est_Q2_3!D12</f>
        <v>50494.68288</v>
      </c>
      <c r="E9" s="231">
        <f>+[2]Global_Est_Q2_3!E12</f>
        <v>50231.719610000007</v>
      </c>
      <c r="F9" s="231">
        <f>+[2]Global_Est_Q2_3!F12</f>
        <v>-0.52077417859008879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f>+[2]Global_Est_Q2_3!D13</f>
        <v>14791.515879999999</v>
      </c>
      <c r="E10" s="232">
        <f>+[2]Global_Est_Q2_3!E13</f>
        <v>14367.00806</v>
      </c>
      <c r="F10" s="232">
        <f>+[2]Global_Est_Q2_3!F13</f>
        <v>-2.8699412787974388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f>+[2]Global_Est_Q2_3!D15</f>
        <v>178255.13668999998</v>
      </c>
      <c r="E12" s="232">
        <f>+[2]Global_Est_Q2_3!E15</f>
        <v>191562.66118999996</v>
      </c>
      <c r="F12" s="232">
        <f>+[2]Global_Est_Q2_3!F15</f>
        <v>7.4654367594145787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f>+[2]Global_Est_Q2_3!D17</f>
        <v>168863.5892800001</v>
      </c>
      <c r="E14" s="232">
        <f>+[2]Global_Est_Q2_3!E17</f>
        <v>165887.04620999991</v>
      </c>
      <c r="F14" s="232">
        <f>+[2]Global_Est_Q2_3!F17</f>
        <v>-1.7626908694121424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f>+[2]Global_Est_Q2_3!D18</f>
        <v>53592.491170000067</v>
      </c>
      <c r="E15" s="231">
        <f>+[2]Global_Est_Q2_3!E18</f>
        <v>57055.606709999927</v>
      </c>
      <c r="F15" s="231">
        <f>+[2]Global_Est_Q2_3!F18</f>
        <v>6.4619417093610299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f>+[2]Global_Est_Q2_3!D19</f>
        <v>34660.988580000019</v>
      </c>
      <c r="E16" s="231">
        <f>+[2]Global_Est_Q2_3!E19</f>
        <v>33850.430970000009</v>
      </c>
      <c r="F16" s="231">
        <f>+[2]Global_Est_Q2_3!F19</f>
        <v>-2.3385299819974392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f>+[2]Global_Est_Q2_3!D20</f>
        <v>16555.739110000002</v>
      </c>
      <c r="E17" s="231">
        <f>+[2]Global_Est_Q2_3!E20</f>
        <v>18561.6603</v>
      </c>
      <c r="F17" s="231">
        <f>+[2]Global_Est_Q2_3!F20</f>
        <v>12.116168155780983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f>+[2]Global_Est_Q2_3!D21</f>
        <v>62314.13731000002</v>
      </c>
      <c r="E18" s="231">
        <f>+[2]Global_Est_Q2_3!E21</f>
        <v>51875.782300000006</v>
      </c>
      <c r="F18" s="231">
        <f>+[2]Global_Est_Q2_3!F21</f>
        <v>-16.751182734138393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f>+[2]Global_Est_Q2_3!D22</f>
        <v>53985.74159000002</v>
      </c>
      <c r="E19" s="231">
        <f>+[2]Global_Est_Q2_3!E22</f>
        <v>44489.738900000004</v>
      </c>
      <c r="F19" s="231">
        <f>+[2]Global_Est_Q2_3!F22</f>
        <v>-17.589834668046855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f>+[2]Global_Est_Q2_3!D23</f>
        <v>8328.3957200000023</v>
      </c>
      <c r="E20" s="231">
        <f>+[2]Global_Est_Q2_3!E23</f>
        <v>7386.0433999999987</v>
      </c>
      <c r="F20" s="231">
        <f>+[2]Global_Est_Q2_3!F23</f>
        <v>-11.314932091147123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f>+[2]Global_Est_Q2_3!D24</f>
        <v>1626.4260699999998</v>
      </c>
      <c r="E21" s="231">
        <f>+[2]Global_Est_Q2_3!E24</f>
        <v>4447.4019800000005</v>
      </c>
      <c r="F21" s="231">
        <f>+[2]Global_Est_Q2_3!F24</f>
        <v>173.44630426392519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f>+[2]Global_Est_Q2_3!D25</f>
        <v>113.80703999999997</v>
      </c>
      <c r="E22" s="231">
        <f>+[2]Global_Est_Q2_3!E25</f>
        <v>96.16395</v>
      </c>
      <c r="F22" s="231">
        <f>+[2]Global_Est_Q2_3!F25</f>
        <v>-15.502634986376918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f>+[2]Global_Est_Q2_3!D26</f>
        <v>5325.380360000001</v>
      </c>
      <c r="E23" s="232">
        <f>+[2]Global_Est_Q2_3!E26</f>
        <v>14978.655149999995</v>
      </c>
      <c r="F23" s="232">
        <f>+[2]Global_Est_Q2_3!F26</f>
        <v>181.26920778293461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f>+[2]Global_Est_Q2_3!D27</f>
        <v>1192.3757600000004</v>
      </c>
      <c r="E24" s="231">
        <f>+[2]Global_Est_Q2_3!E27</f>
        <v>8123.1492299999973</v>
      </c>
      <c r="F24" s="231">
        <f>+[2]Global_Est_Q2_3!F27</f>
        <v>581.25749470116659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f>+[2]Global_Est_Q2_3!D28</f>
        <v>4133.0046000000002</v>
      </c>
      <c r="E25" s="231">
        <f>+[2]Global_Est_Q2_3!E28</f>
        <v>6855.5059199999987</v>
      </c>
      <c r="F25" s="231">
        <f>+[2]Global_Est_Q2_3!F28</f>
        <v>65.872206384672268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f>+[2]Global_Est_Q2_3!D29</f>
        <v>3788.9303200000004</v>
      </c>
      <c r="E26" s="231">
        <f>+[2]Global_Est_Q2_3!E29</f>
        <v>6815.7486299999991</v>
      </c>
      <c r="F26" s="231">
        <f>+[2]Global_Est_Q2_3!F29</f>
        <v>79.885826720613821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f>+[2]Global_Est_Q2_3!D30</f>
        <v>344.07427999999999</v>
      </c>
      <c r="E27" s="231">
        <f>+[2]Global_Est_Q2_3!E30</f>
        <v>39.757289999999998</v>
      </c>
      <c r="F27" s="231">
        <f>+[2]Global_Est_Q2_3!F30</f>
        <v>-88.445143298708643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f>+[2]Global_Est_Q2_3!D33</f>
        <v>174188.96964000011</v>
      </c>
      <c r="E29" s="235">
        <f>+[2]Global_Est_Q2_3!E33</f>
        <v>180865.70135999992</v>
      </c>
      <c r="F29" s="235">
        <f>+[2]Global_Est_Q2_3!F33</f>
        <v>3.8330393329719659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f>+[2]Global_Est_Q2_3!D35</f>
        <v>4066.1670499998891</v>
      </c>
      <c r="E31" s="139">
        <f>+[2]Global_Est_Q2_3!E35</f>
        <v>10696.959830000054</v>
      </c>
      <c r="F31" s="139">
        <f>+[2]Global_Est_Q2_3!F35</f>
        <v>163.07231597876299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f>+[2]Global_Est_Q2_3!D37</f>
        <v>-5399.9684700001089</v>
      </c>
      <c r="E33" s="19">
        <f>+[2]Global_Est_Q2_3!E37</f>
        <v>11308.606920000049</v>
      </c>
      <c r="F33" s="19">
        <f>+[2]Global_Est_Q2_3!F37</f>
        <v>309.41986944601217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f>+[2]Global_Est_Q2_3!D38</f>
        <v>9466.135519999998</v>
      </c>
      <c r="E34" s="19">
        <f>+[2]Global_Est_Q2_3!E38</f>
        <v>-611.64708999999493</v>
      </c>
      <c r="F34" s="19">
        <f>+[2]Global_Est_Q2_3!F38</f>
        <v>-106.46142334121154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f>+[2]Global_Est_Q2_3!D39</f>
        <v>20621.906159999889</v>
      </c>
      <c r="E35" s="19">
        <f>+[2]Global_Est_Q2_3!E39</f>
        <v>29258.620130000054</v>
      </c>
      <c r="F35" s="19">
        <f>+[2]Global_Est_Q2_3!F39</f>
        <v>41.881259195877419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f>+[2]Global_Est_Q2_3!D40</f>
        <v>671.13022000000001</v>
      </c>
      <c r="E36" s="106">
        <f>+[2]Global_Est_Q2_3!E40</f>
        <v>25.404040000000002</v>
      </c>
      <c r="F36" s="106">
        <f>+[2]Global_Est_Q2_3!F40</f>
        <v>-96.214737581031599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B2" sqref="B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(fevereiro)","TABLE III - Regional Gov. budget execution (february)")</f>
        <v>TABLE III - Regional Gov. budget execution (february)</v>
      </c>
      <c r="D2" s="224"/>
      <c r="E2" s="225"/>
      <c r="F2" s="49" t="str">
        <f>+IF(Índice!$D$2=1,"€ Milhares","€ Thousands")</f>
        <v>€ Thousands</v>
      </c>
      <c r="G2"/>
      <c r="H2" s="292" t="str">
        <f>+IF(Índice!$D$2=1,"índice","Index")</f>
        <v>Index</v>
      </c>
      <c r="K2" s="18"/>
      <c r="Z2" s="7"/>
      <c r="AC2" s="18"/>
    </row>
    <row r="3" spans="2:29" ht="35.1" customHeight="1">
      <c r="C3" s="293"/>
      <c r="D3" s="294">
        <f>+[2]Global_Est_Q2_3!D54</f>
        <v>2023</v>
      </c>
      <c r="E3" s="294">
        <f>+[2]Global_Est_Q2_3!E54</f>
        <v>2023</v>
      </c>
      <c r="F3" s="294" t="str">
        <f>+[2]Global_Est_Q2_3!F54</f>
        <v>VH (%)</v>
      </c>
      <c r="G3"/>
      <c r="H3" s="23"/>
      <c r="Z3" s="7"/>
      <c r="AC3" s="18"/>
    </row>
    <row r="4" spans="2:29" ht="6.75" customHeight="1">
      <c r="C4" s="101"/>
      <c r="D4" s="295"/>
      <c r="E4" s="296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f>+[2]Global_Est_Q2_3!D56</f>
        <v>77797.227230000048</v>
      </c>
      <c r="E5" s="225">
        <f>+[2]Global_Est_Q2_3!E56</f>
        <v>86468.543279999969</v>
      </c>
      <c r="F5" s="225">
        <f>+[2]Global_Est_Q2_3!F56</f>
        <v>11.146047691859252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f>+[2]Global_Est_Q2_3!D57</f>
        <v>75084.23751000005</v>
      </c>
      <c r="E6" s="231">
        <f>+[2]Global_Est_Q2_3!E57</f>
        <v>82950.865419999973</v>
      </c>
      <c r="F6" s="231">
        <f>+[2]Global_Est_Q2_3!F57</f>
        <v>10.477069716466403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f>+[2]Global_Est_Q2_3!D58</f>
        <v>26512.301370000001</v>
      </c>
      <c r="E7" s="231">
        <f>+[2]Global_Est_Q2_3!E58</f>
        <v>27005.471799999999</v>
      </c>
      <c r="F7" s="231">
        <f>+[2]Global_Est_Q2_3!F58</f>
        <v>1.8601570007726442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f>+[2]Global_Est_Q2_3!D59</f>
        <v>48571.936140000049</v>
      </c>
      <c r="E8" s="231">
        <f>+[2]Global_Est_Q2_3!E59</f>
        <v>55945.393619999973</v>
      </c>
      <c r="F8" s="231">
        <f>+[2]Global_Est_Q2_3!F59</f>
        <v>15.180489117722695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f>+[2]Global_Est_Q2_3!D60</f>
        <v>2712.9897200000037</v>
      </c>
      <c r="E9" s="231">
        <f>+[2]Global_Est_Q2_3!E60</f>
        <v>3517.6778600000066</v>
      </c>
      <c r="F9" s="231">
        <f>+[2]Global_Est_Q2_3!F60</f>
        <v>29.660567235765335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f>+[2]Global_Est_Q2_3!D61</f>
        <v>3031.7518099999993</v>
      </c>
      <c r="E10" s="232">
        <f>+[2]Global_Est_Q2_3!E61</f>
        <v>1581.4897499999984</v>
      </c>
      <c r="F10" s="232">
        <f>+[2]Global_Est_Q2_3!F61</f>
        <v>-47.83577782377909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f>+[2]Global_Est_Q2_3!D63</f>
        <v>80828.979040000049</v>
      </c>
      <c r="E12" s="232">
        <f>+[2]Global_Est_Q2_3!E63</f>
        <v>88050.033029999962</v>
      </c>
      <c r="F12" s="232">
        <f>+[2]Global_Est_Q2_3!F63</f>
        <v>8.9337439069054891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7"/>
      <c r="M13" s="298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f>+[2]Global_Est_Q2_3!D65</f>
        <v>111091.90296000015</v>
      </c>
      <c r="E14" s="232">
        <f>+[2]Global_Est_Q2_3!E65</f>
        <v>105517.17969999996</v>
      </c>
      <c r="F14" s="232">
        <f>+[2]Global_Est_Q2_3!F65</f>
        <v>-5.0181184329945561</v>
      </c>
      <c r="G14"/>
      <c r="H14" s="23"/>
      <c r="K14" s="23"/>
      <c r="M14" s="299">
        <v>0</v>
      </c>
      <c r="N14" s="300"/>
      <c r="O14" s="300"/>
      <c r="P14" s="300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f>+[2]Global_Est_Q2_3!D66</f>
        <v>29433.456080000069</v>
      </c>
      <c r="E15" s="231">
        <f>+[2]Global_Est_Q2_3!E66</f>
        <v>31325.358900000014</v>
      </c>
      <c r="F15" s="231">
        <f>+[2]Global_Est_Q2_3!F66</f>
        <v>6.4277290945981891</v>
      </c>
      <c r="G15"/>
      <c r="H15" s="23"/>
      <c r="N15" s="300"/>
      <c r="O15" s="300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f>+[2]Global_Est_Q2_3!D67</f>
        <v>32568.171610000019</v>
      </c>
      <c r="E16" s="231">
        <f>+[2]Global_Est_Q2_3!E67</f>
        <v>31506.936400000006</v>
      </c>
      <c r="F16" s="231">
        <f>+[2]Global_Est_Q2_3!F67</f>
        <v>-3.2585041085762434</v>
      </c>
      <c r="G16"/>
      <c r="H16" s="23"/>
      <c r="I16" s="24"/>
      <c r="N16" s="300"/>
      <c r="O16" s="300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f>+[2]Global_Est_Q2_3!D68</f>
        <v>474.0804699999988</v>
      </c>
      <c r="E17" s="231">
        <f>+[2]Global_Est_Q2_3!E68</f>
        <v>435.93522000000252</v>
      </c>
      <c r="F17" s="231">
        <f>+[2]Global_Est_Q2_3!F68</f>
        <v>-8.0461551179267907</v>
      </c>
      <c r="G17"/>
      <c r="H17" s="23"/>
      <c r="I17" s="24"/>
      <c r="N17" s="300"/>
      <c r="O17" s="300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f>+[2]Global_Est_Q2_3!D69</f>
        <v>46893.851570000072</v>
      </c>
      <c r="E18" s="231">
        <f>+[2]Global_Est_Q2_3!E69</f>
        <v>39517.082269999941</v>
      </c>
      <c r="F18" s="231">
        <f>+[2]Global_Est_Q2_3!F69</f>
        <v>-15.730781441546926</v>
      </c>
      <c r="G18"/>
      <c r="H18" s="23"/>
      <c r="I18" s="24"/>
      <c r="N18" s="300"/>
      <c r="O18" s="300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f>+[2]Global_Est_Q2_3!D70</f>
        <v>1626.4260699999998</v>
      </c>
      <c r="E19" s="231">
        <f>+[2]Global_Est_Q2_3!E70</f>
        <v>2653.4819800000005</v>
      </c>
      <c r="F19" s="231">
        <f>+[2]Global_Est_Q2_3!F70</f>
        <v>63.148023076142714</v>
      </c>
      <c r="G19"/>
      <c r="H19" s="23"/>
      <c r="I19" s="24"/>
      <c r="N19" s="300"/>
      <c r="O19" s="300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f>+[2]Global_Est_Q2_3!D71</f>
        <v>95.917159999999981</v>
      </c>
      <c r="E20" s="231">
        <f>+[2]Global_Est_Q2_3!E71</f>
        <v>78.384929999999997</v>
      </c>
      <c r="F20" s="231">
        <f>+[2]Global_Est_Q2_3!F71</f>
        <v>-18.278512416339254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f>+[2]Global_Est_Q2_3!D72</f>
        <v>4979.9264700000003</v>
      </c>
      <c r="E21" s="232">
        <f>+[2]Global_Est_Q2_3!E72</f>
        <v>13228.117649999997</v>
      </c>
      <c r="F21" s="232">
        <f>+[2]Global_Est_Q2_3!F72</f>
        <v>165.62877443449474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f>+[2]Global_Est_Q2_3!D73</f>
        <v>1188.7165100000002</v>
      </c>
      <c r="E22" s="231">
        <f>+[2]Global_Est_Q2_3!E73</f>
        <v>6779.0153999999975</v>
      </c>
      <c r="F22" s="231">
        <f>+[2]Global_Est_Q2_3!F73</f>
        <v>470.28024284780872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f>+[2]Global_Est_Q2_3!D74</f>
        <v>3791.2099599999997</v>
      </c>
      <c r="E23" s="231">
        <f>+[2]Global_Est_Q2_3!E74</f>
        <v>6449.1022499999999</v>
      </c>
      <c r="F23" s="231">
        <f>+[2]Global_Est_Q2_3!F74</f>
        <v>70.106702557829337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1">
        <f>+[2]Global_Est_Q2_3!D81</f>
        <v>-35242.850390000109</v>
      </c>
      <c r="E25" s="301">
        <f>+[2]Global_Est_Q2_3!E81</f>
        <v>-30695.264320000002</v>
      </c>
      <c r="F25" s="301">
        <f>+[2]Global_Est_Q2_3!F81</f>
        <v>12.903570567295686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f>+[2]Global_Est_Q2_3!D83</f>
        <v>-33294.675730000105</v>
      </c>
      <c r="E27" s="287">
        <f>+[2]Global_Est_Q2_3!E83</f>
        <v>-19048.636419999995</v>
      </c>
      <c r="F27" s="287">
        <f>+[2]Global_Est_Q2_3!F83</f>
        <v>42.787740074500093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f>+[2]Global_Est_Q2_3!D83</f>
        <v>-33294.675730000105</v>
      </c>
      <c r="E29" s="19">
        <f>+[2]Global_Est_Q2_3!E83</f>
        <v>-19048.636419999995</v>
      </c>
      <c r="F29" s="19">
        <f>+[2]Global_Est_Q2_3!F83</f>
        <v>42.787740074500093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f>+[2]Global_Est_Q2_3!D84</f>
        <v>-1948.174660000001</v>
      </c>
      <c r="E30" s="19">
        <f>+[2]Global_Est_Q2_3!E84</f>
        <v>-11646.627899999998</v>
      </c>
      <c r="F30" s="19">
        <f>+[2]Global_Est_Q2_3!F84</f>
        <v>-497.82257408070336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f>+[2]Global_Est_Q2_3!D85</f>
        <v>-34768.769920000108</v>
      </c>
      <c r="E31" s="19">
        <f>+[2]Global_Est_Q2_3!E85</f>
        <v>-30259.329099999999</v>
      </c>
      <c r="F31" s="19">
        <f>+[2]Global_Est_Q2_3!F85</f>
        <v>12.96980258541196</v>
      </c>
      <c r="H31" s="26"/>
      <c r="J31" s="23"/>
      <c r="K31" s="18"/>
      <c r="Z31" s="7"/>
      <c r="AC31" s="18"/>
    </row>
    <row r="32" spans="3:29" ht="12.75">
      <c r="C32" s="302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3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5"/>
      <c r="E33" s="325"/>
      <c r="F33" s="325"/>
      <c r="G33" s="304"/>
      <c r="H33" s="304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(janeiro-fevereiro)","TABLE IV - Regional Gov. tax revenue budget execution (january-february)")</f>
        <v>TABLE IV - Regional Gov. tax revenue budget execution (january-february)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f>+[2]R_Est_Q4_5!E167</f>
        <v>112968.93792999999</v>
      </c>
      <c r="E5" s="33">
        <f>+[2]R_Est_Q4_5!F167</f>
        <v>126963.93351999996</v>
      </c>
      <c r="F5" s="270">
        <f>+[2]R_Est_Q4_5!G167</f>
        <v>0.12388357230260794</v>
      </c>
      <c r="G5" s="270">
        <f>+[2]R_Est_Q4_5!H167</f>
        <v>0.12019442997586124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f>+[2]R_Est_Q4_5!E169</f>
        <v>26512.301369999997</v>
      </c>
      <c r="E7" s="70">
        <f>+[2]R_Est_Q4_5!F169</f>
        <v>27005.471799999999</v>
      </c>
      <c r="F7" s="271">
        <f>+[2]R_Est_Q4_5!G169</f>
        <v>1.8601570007726664E-2</v>
      </c>
      <c r="G7" s="271">
        <f>+[2]R_Est_Q4_5!H169</f>
        <v>7.1250212160586954E-2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f>+[2]R_Est_Q4_5!E170</f>
        <v>24193.280489999997</v>
      </c>
      <c r="E8" s="70">
        <f>+[2]R_Est_Q4_5!F170</f>
        <v>24908.746929999998</v>
      </c>
      <c r="F8" s="271">
        <f>+[2]R_Est_Q4_5!G170</f>
        <v>2.9572940316867413E-2</v>
      </c>
      <c r="G8" s="271">
        <f>+[2]R_Est_Q4_5!H170</f>
        <v>0.10367760953906299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f>+[2]R_Est_Q4_5!E171</f>
        <v>2319.02088</v>
      </c>
      <c r="E9" s="70">
        <f>+[2]R_Est_Q4_5!F171</f>
        <v>2096.72487</v>
      </c>
      <c r="F9" s="271">
        <f>+[2]R_Est_Q4_5!G171</f>
        <v>-9.5857700944891877E-2</v>
      </c>
      <c r="G9" s="271">
        <f>+[2]R_Est_Q4_5!H171</f>
        <v>1.5109233337755001E-2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f>+[2]R_Est_Q4_5!E172</f>
        <v>0</v>
      </c>
      <c r="E10" s="70">
        <f>+[2]R_Est_Q4_5!F172</f>
        <v>0</v>
      </c>
      <c r="F10" s="271">
        <f>+[2]R_Est_Q4_5!G172</f>
        <v>0</v>
      </c>
      <c r="G10" s="271">
        <f>+[2]R_Est_Q4_5!H172</f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f>+[2]R_Est_Q4_5!E173</f>
        <v>86456.636559999984</v>
      </c>
      <c r="E11" s="70">
        <f>+[2]R_Est_Q4_5!F173</f>
        <v>99958.461719999963</v>
      </c>
      <c r="F11" s="271">
        <f>+[2]R_Est_Q4_5!G173</f>
        <v>0.15616875346093129</v>
      </c>
      <c r="G11" s="271">
        <f>+[2]R_Est_Q4_5!H173</f>
        <v>0.147584115994703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f>+[2]R_Est_Q4_5!E174</f>
        <v>4942.2951800000001</v>
      </c>
      <c r="E12" s="70">
        <f>+[2]R_Est_Q4_5!F174</f>
        <v>2853.0806699999998</v>
      </c>
      <c r="F12" s="271">
        <f>+[2]R_Est_Q4_5!G174</f>
        <v>-0.42272151579582506</v>
      </c>
      <c r="G12" s="271">
        <f>+[2]R_Est_Q4_5!H174</f>
        <v>5.5395322110904005E-2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f>+[2]R_Est_Q4_5!E175</f>
        <v>72651.662980000008</v>
      </c>
      <c r="E13" s="70">
        <f>+[2]R_Est_Q4_5!F175</f>
        <v>85489.678929999995</v>
      </c>
      <c r="F13" s="271">
        <f>+[2]R_Est_Q4_5!G175</f>
        <v>0.17670642932886627</v>
      </c>
      <c r="G13" s="271">
        <f>+[2]R_Est_Q4_5!H175</f>
        <v>0.16708784649256472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f>+[2]R_Est_Q4_5!E176</f>
        <v>488.61887999999999</v>
      </c>
      <c r="E14" s="70">
        <f>+[2]R_Est_Q4_5!F176</f>
        <v>620.56613000000004</v>
      </c>
      <c r="F14" s="271">
        <f>+[2]R_Est_Q4_5!G176</f>
        <v>0.2700412435966455</v>
      </c>
      <c r="G14" s="271">
        <f>+[2]R_Est_Q4_5!H176</f>
        <v>0.1212279996092987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f>+[2]R_Est_Q4_5!E177</f>
        <v>835.12507999999991</v>
      </c>
      <c r="E15" s="70">
        <f>+[2]R_Est_Q4_5!F177</f>
        <v>2738.2063499999999</v>
      </c>
      <c r="F15" s="271">
        <f>+[2]R_Est_Q4_5!G177</f>
        <v>2.2787978897723922</v>
      </c>
      <c r="G15" s="271">
        <f>+[2]R_Est_Q4_5!H177</f>
        <v>7.3018836000000004E-2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f>+[2]R_Est_Q4_5!E178</f>
        <v>1119.1654099999998</v>
      </c>
      <c r="E16" s="70">
        <f>+[2]R_Est_Q4_5!F178</f>
        <v>1015.74978</v>
      </c>
      <c r="F16" s="271">
        <f>+[2]R_Est_Q4_5!G178</f>
        <v>-9.2404240763659606E-2</v>
      </c>
      <c r="G16" s="271">
        <f>+[2]R_Est_Q4_5!H178</f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f>+[2]R_Est_Q4_5!E179</f>
        <v>6419.7690299999995</v>
      </c>
      <c r="E17" s="70">
        <f>+[2]R_Est_Q4_5!F179</f>
        <v>7241.1798599999993</v>
      </c>
      <c r="F17" s="271">
        <f>+[2]R_Est_Q4_5!G179</f>
        <v>0.12795021536779494</v>
      </c>
      <c r="G17" s="271">
        <f>+[2]R_Est_Q4_5!H179</f>
        <v>0.11970844864415241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f>+[2]R_Est_Q4_5!E180</f>
        <v>2917.1248700000001</v>
      </c>
      <c r="E18" s="70">
        <f>+[2]R_Est_Q4_5!F180</f>
        <v>3202.3873199999998</v>
      </c>
      <c r="F18" s="271">
        <f>+[2]R_Est_Q4_5!G180</f>
        <v>9.7788906101917927E-2</v>
      </c>
      <c r="G18" s="271">
        <f>+[2]R_Est_Q4_5!H180</f>
        <v>9.3942297188091509E-2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f>+[2]R_Est_Q4_5!E181</f>
        <v>462.40408999999988</v>
      </c>
      <c r="E19" s="70">
        <f>+[2]R_Est_Q4_5!F181</f>
        <v>648.44985999999994</v>
      </c>
      <c r="F19" s="271">
        <f>+[2]R_Est_Q4_5!G181</f>
        <v>0.40234455971183158</v>
      </c>
      <c r="G19" s="271">
        <f>+[2]R_Est_Q4_5!H181</f>
        <v>8.4817285385865415E-2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f>+[2]R_Est_Q4_5!E183</f>
        <v>65286.198759999999</v>
      </c>
      <c r="E21" s="33">
        <f>+[2]R_Est_Q4_5!F183</f>
        <v>64598.727670000007</v>
      </c>
      <c r="F21" s="270">
        <f>+[2]R_Est_Q4_5!G183</f>
        <v>-1.0530113608348102E-2</v>
      </c>
      <c r="G21" s="270">
        <f>+[2]R_Est_Q4_5!H183</f>
        <v>0.12377050984562164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f>+[2]R_Est_Q4_5!E185</f>
        <v>178255.13668999998</v>
      </c>
      <c r="E23" s="139">
        <f>+[2]R_Est_Q4_5!F185</f>
        <v>191562.66118999996</v>
      </c>
      <c r="F23" s="274">
        <f>+[2]R_Est_Q4_5!G185</f>
        <v>7.4654367594145787E-2</v>
      </c>
      <c r="G23" s="274">
        <f>+[2]R_Est_Q4_5!H185</f>
        <v>0.12137703482752844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(janeiro-fevereiro)","TABLE V - Regional Gov. non-tax revenue budget execution (january-february)")</f>
        <v>TABLE V - Regional Gov. non-tax revenue budget execution (january-february)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f>+[2]R_Est_Q4_5!E199</f>
        <v>112968.93792999999</v>
      </c>
      <c r="E5" s="41">
        <f>+[2]R_Est_Q4_5!F199</f>
        <v>126963.93351999996</v>
      </c>
      <c r="F5" s="276">
        <f>+[2]R_Est_Q4_5!G199</f>
        <v>0.12388357230260794</v>
      </c>
      <c r="G5" s="42">
        <f>+[2]R_Est_Q4_5!H199</f>
        <v>0.12019442997586124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f>+[2]R_Est_Q4_5!E201</f>
        <v>65286.198759999999</v>
      </c>
      <c r="E7" s="41">
        <f>+[2]R_Est_Q4_5!F201</f>
        <v>64598.727670000007</v>
      </c>
      <c r="F7" s="276">
        <f>+[2]R_Est_Q4_5!G201</f>
        <v>-1.0530113608348102E-2</v>
      </c>
      <c r="G7" s="42">
        <f>+[2]R_Est_Q4_5!H201</f>
        <v>0.12377050984562164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f>+[2]R_Est_Q4_5!E202</f>
        <v>50494.68288</v>
      </c>
      <c r="E8" s="41">
        <f>+[2]R_Est_Q4_5!F202</f>
        <v>50231.719610000007</v>
      </c>
      <c r="F8" s="276">
        <f>+[2]R_Est_Q4_5!G202</f>
        <v>-5.2077417859008879E-3</v>
      </c>
      <c r="G8" s="42">
        <f>+[2]R_Est_Q4_5!H202</f>
        <v>0.18595186736834252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f>+[2]R_Est_Q4_5!E203</f>
        <v>0</v>
      </c>
      <c r="E9" s="71">
        <f>+[2]R_Est_Q4_5!F203</f>
        <v>0</v>
      </c>
      <c r="F9" s="278">
        <f>+[2]R_Est_Q4_5!G203</f>
        <v>0</v>
      </c>
      <c r="G9" s="43">
        <f>+[2]R_Est_Q4_5!H203</f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f>+[2]R_Est_Q4_5!E204</f>
        <v>2234.4643299999998</v>
      </c>
      <c r="E10" s="71">
        <f>+[2]R_Est_Q4_5!F204</f>
        <v>2813.0192800000004</v>
      </c>
      <c r="F10" s="278">
        <f>+[2]R_Est_Q4_5!G204</f>
        <v>0.25892333219747599</v>
      </c>
      <c r="G10" s="43">
        <f>+[2]R_Est_Q4_5!H204</f>
        <v>0.11678171558761599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f>+[2]R_Est_Q4_5!E205</f>
        <v>83.804799999999986</v>
      </c>
      <c r="E11" s="71">
        <f>+[2]R_Est_Q4_5!F205</f>
        <v>242.88646</v>
      </c>
      <c r="F11" s="278">
        <f>+[2]R_Est_Q4_5!G205</f>
        <v>1.8982404349154232</v>
      </c>
      <c r="G11" s="43">
        <f>+[2]R_Est_Q4_5!H205</f>
        <v>2.8043528661414342E-2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f>+[2]R_Est_Q4_5!E206</f>
        <v>46519.583599999998</v>
      </c>
      <c r="E12" s="71">
        <f>+[2]R_Est_Q4_5!F206</f>
        <v>45403.528540000007</v>
      </c>
      <c r="F12" s="278">
        <f>+[2]R_Est_Q4_5!G206</f>
        <v>-2.3991080178112134E-2</v>
      </c>
      <c r="G12" s="43">
        <f>+[2]R_Est_Q4_5!H206</f>
        <v>0.23308625427305923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f>+[2]R_Est_Q4_5!E207</f>
        <v>1433.2080100000003</v>
      </c>
      <c r="E13" s="47">
        <f>+[2]R_Est_Q4_5!F207</f>
        <v>1678.5056000000002</v>
      </c>
      <c r="F13" s="278">
        <f>+[2]R_Est_Q4_5!G207</f>
        <v>0.17115281821513117</v>
      </c>
      <c r="G13" s="43">
        <f>+[2]R_Est_Q4_5!H207</f>
        <v>0.17197676410583859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f>+[2]R_Est_Q4_5!E208</f>
        <v>223.62214</v>
      </c>
      <c r="E14" s="71">
        <f>+[2]R_Est_Q4_5!F208</f>
        <v>93.779730000000015</v>
      </c>
      <c r="F14" s="278">
        <f>+[2]R_Est_Q4_5!G208</f>
        <v>-0.58063307148388787</v>
      </c>
      <c r="G14" s="43">
        <f>+[2]R_Est_Q4_5!H208</f>
        <v>2.8564271165811236E-3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f>+[2]R_Est_Q4_5!E209</f>
        <v>0</v>
      </c>
      <c r="E15" s="71">
        <f>+[2]R_Est_Q4_5!F209</f>
        <v>0</v>
      </c>
      <c r="F15" s="278">
        <f>+[2]R_Est_Q4_5!G209</f>
        <v>0</v>
      </c>
      <c r="G15" s="43">
        <f>+[2]R_Est_Q4_5!H209</f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f>+[2]R_Est_Q4_5!E211</f>
        <v>14791.515879999999</v>
      </c>
      <c r="E17" s="41">
        <f>+[2]R_Est_Q4_5!F211</f>
        <v>14367.00806</v>
      </c>
      <c r="F17" s="276">
        <f>+[2]R_Est_Q4_5!G211</f>
        <v>-2.8699412787974388E-2</v>
      </c>
      <c r="G17" s="42">
        <f>+[2]R_Est_Q4_5!H211</f>
        <v>5.7059371650811964E-2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f>+[2]R_Est_Q4_5!E212</f>
        <v>1218.6859399999998</v>
      </c>
      <c r="E18" s="71">
        <f>+[2]R_Est_Q4_5!F212</f>
        <v>131.72499999999999</v>
      </c>
      <c r="F18" s="278">
        <f>+[2]R_Est_Q4_5!G212</f>
        <v>-0.89191226740500507</v>
      </c>
      <c r="G18" s="43">
        <f>+[2]R_Est_Q4_5!H212</f>
        <v>4.8522991093834754E-3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f>+[2]R_Est_Q4_5!E213</f>
        <v>12489.00822</v>
      </c>
      <c r="E19" s="44">
        <f>+[2]R_Est_Q4_5!F213</f>
        <v>12732.56179</v>
      </c>
      <c r="F19" s="278">
        <f>+[2]R_Est_Q4_5!G213</f>
        <v>1.950143403781035E-2</v>
      </c>
      <c r="G19" s="43">
        <f>+[2]R_Est_Q4_5!H213</f>
        <v>5.9018492947696295E-2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f>+[2]R_Est_Q4_5!E214</f>
        <v>0</v>
      </c>
      <c r="E20" s="71">
        <f>+[2]R_Est_Q4_5!F214</f>
        <v>0</v>
      </c>
      <c r="F20" s="278">
        <f>+[2]R_Est_Q4_5!G214</f>
        <v>0</v>
      </c>
      <c r="G20" s="43">
        <f>+[2]R_Est_Q4_5!H214</f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f>+[2]R_Est_Q4_5!E216</f>
        <v>1083.8217200000001</v>
      </c>
      <c r="E21" s="47">
        <f>+[2]R_Est_Q4_5!F216</f>
        <v>1502.72127</v>
      </c>
      <c r="F21" s="278">
        <f>+[2]R_Est_Q4_5!G216</f>
        <v>0.38650226533566778</v>
      </c>
      <c r="G21" s="43">
        <f>+[2]R_Est_Q4_5!H216</f>
        <v>0.16878819162080197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f>+[2]R_Est_Q4_5!E218</f>
        <v>178255.13668999998</v>
      </c>
      <c r="E23" s="287">
        <f>+[2]R_Est_Q4_5!F218</f>
        <v>191562.66118999996</v>
      </c>
      <c r="F23" s="288">
        <f>+[2]R_Est_Q4_5!G218</f>
        <v>7.4654367594145787E-2</v>
      </c>
      <c r="G23" s="288">
        <f>+[2]R_Est_Q4_5!H218</f>
        <v>0.12137703482752844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P20" sqref="O20:P2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(janeiro-fevereiro)","TABLE VI - Regional Gov. expenditure budget execution (january-february)")</f>
        <v>TABLE VI - Regional Gov. expenditure budget execution (january-february)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7">
        <v>2022</v>
      </c>
      <c r="E3" s="329">
        <v>2023</v>
      </c>
      <c r="F3" s="153">
        <v>2022</v>
      </c>
      <c r="G3" s="153">
        <v>2023</v>
      </c>
      <c r="H3" s="330" t="str">
        <f>+IF(Índice!$D$2=1,"VH (%)","yoy change (%)")</f>
        <v>yoy change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Execution level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f>+'[2]D_Est ECO_Q6'!F8</f>
        <v>168863.5892800001</v>
      </c>
      <c r="E5" s="253">
        <f>+'[2]D_Est ECO_Q6'!H8</f>
        <v>165887.04620999991</v>
      </c>
      <c r="F5" s="253">
        <f>+'[2]D_Est ECO_Q6'!I8</f>
        <v>13.427923039142708</v>
      </c>
      <c r="G5" s="253">
        <f>+'[2]D_Est ECO_Q6'!J8</f>
        <v>11.856250919936267</v>
      </c>
      <c r="H5" s="253">
        <f>+'[2]D_Est ECO_Q6'!L8</f>
        <v>-1.7626908694121459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f>+'[2]D_Est ECO_Q6'!F9</f>
        <v>53592.491170000067</v>
      </c>
      <c r="E6" s="74">
        <f>+'[2]D_Est ECO_Q6'!H9</f>
        <v>57055.606709999927</v>
      </c>
      <c r="F6" s="74">
        <f>+'[2]D_Est ECO_Q6'!I9</f>
        <v>12.714637232769519</v>
      </c>
      <c r="G6" s="74">
        <f>+'[2]D_Est ECO_Q6'!J9</f>
        <v>12.945539900973138</v>
      </c>
      <c r="H6" s="254">
        <f>+'[2]D_Est ECO_Q6'!L9</f>
        <v>6.4619417093610281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f>+'[2]D_Est ECO_Q6'!F10</f>
        <v>47289.387150000024</v>
      </c>
      <c r="E7" s="75">
        <f>+'[2]D_Est ECO_Q6'!H10</f>
        <v>50378.353799999924</v>
      </c>
      <c r="F7" s="75">
        <f>+'[2]D_Est ECO_Q6'!I10</f>
        <v>13.958645611281787</v>
      </c>
      <c r="G7" s="75">
        <f>+'[2]D_Est ECO_Q6'!J10</f>
        <v>14.299691573844834</v>
      </c>
      <c r="H7" s="254">
        <f>+'[2]D_Est ECO_Q6'!L10</f>
        <v>6.5320505004681557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f>+'[2]D_Est ECO_Q6'!F11</f>
        <v>489.81167000000016</v>
      </c>
      <c r="E8" s="75">
        <f>+'[2]D_Est ECO_Q6'!H11</f>
        <v>525.25616000000002</v>
      </c>
      <c r="F8" s="75">
        <f>+'[2]D_Est ECO_Q6'!I11</f>
        <v>8.1816324222784349</v>
      </c>
      <c r="G8" s="75">
        <f>+'[2]D_Est ECO_Q6'!J11</f>
        <v>8.2796807903254752</v>
      </c>
      <c r="H8" s="254">
        <f>+'[2]D_Est ECO_Q6'!L11</f>
        <v>7.2363506569779874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f>+'[2]D_Est ECO_Q6'!F12</f>
        <v>5813.2923499999988</v>
      </c>
      <c r="E9" s="75">
        <f>+'[2]D_Est ECO_Q6'!H12</f>
        <v>6151.9967500000039</v>
      </c>
      <c r="F9" s="75">
        <f>+'[2]D_Est ECO_Q6'!I12</f>
        <v>7.5759471357107593</v>
      </c>
      <c r="G9" s="75">
        <f>+'[2]D_Est ECO_Q6'!J12</f>
        <v>7.4943985067135124</v>
      </c>
      <c r="H9" s="254">
        <f>+'[2]D_Est ECO_Q6'!L12</f>
        <v>5.8263782312617591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f>+'[2]D_Est ECO_Q6'!F13</f>
        <v>34660.988580000019</v>
      </c>
      <c r="E10" s="75">
        <f>+'[2]D_Est ECO_Q6'!H13</f>
        <v>33850.430970000009</v>
      </c>
      <c r="F10" s="75">
        <f>+'[2]D_Est ECO_Q6'!I13</f>
        <v>18.337552417861399</v>
      </c>
      <c r="G10" s="75">
        <f>+'[2]D_Est ECO_Q6'!J13</f>
        <v>17.0778352312789</v>
      </c>
      <c r="H10" s="254">
        <f>+'[2]D_Est ECO_Q6'!L13</f>
        <v>-2.3385299819974446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f>+'[2]D_Est ECO_Q6'!F14</f>
        <v>16555.739110000002</v>
      </c>
      <c r="E11" s="75">
        <f>+'[2]D_Est ECO_Q6'!H14</f>
        <v>18561.6603</v>
      </c>
      <c r="F11" s="75">
        <f>+'[2]D_Est ECO_Q6'!I14</f>
        <v>16.38800428082482</v>
      </c>
      <c r="G11" s="75">
        <f>+'[2]D_Est ECO_Q6'!J14</f>
        <v>12.211922952395682</v>
      </c>
      <c r="H11" s="254">
        <f>+'[2]D_Est ECO_Q6'!L14</f>
        <v>12.116168155780978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f>+'[2]D_Est ECO_Q6'!F15</f>
        <v>62314.13731000002</v>
      </c>
      <c r="E12" s="74">
        <f>+'[2]D_Est ECO_Q6'!H15</f>
        <v>51875.782300000006</v>
      </c>
      <c r="F12" s="74">
        <f>+'[2]D_Est ECO_Q6'!I15</f>
        <v>12.051906921119643</v>
      </c>
      <c r="G12" s="74">
        <f>+'[2]D_Est ECO_Q6'!J15</f>
        <v>9.0011324251531573</v>
      </c>
      <c r="H12" s="254">
        <f>+'[2]D_Est ECO_Q6'!L15</f>
        <v>-16.751182734138393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f>+'[2]D_Est ECO_Q6'!F16</f>
        <v>53985.74159000002</v>
      </c>
      <c r="E13" s="74">
        <f>+'[2]D_Est ECO_Q6'!H16</f>
        <v>44489.738900000004</v>
      </c>
      <c r="F13" s="74">
        <f>+'[2]D_Est ECO_Q6'!I16</f>
        <v>13.25834648599642</v>
      </c>
      <c r="G13" s="74">
        <f>+'[2]D_Est ECO_Q6'!J16</f>
        <v>9.7762487006126797</v>
      </c>
      <c r="H13" s="254">
        <f>+'[2]D_Est ECO_Q6'!L16</f>
        <v>-17.589834668046862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f>+'[2]D_Est ECO_Q6'!F17</f>
        <v>32.759</v>
      </c>
      <c r="E14" s="75">
        <f>+'[2]D_Est ECO_Q6'!H17</f>
        <v>0</v>
      </c>
      <c r="F14" s="74">
        <f>+'[2]D_Est ECO_Q6'!I17</f>
        <v>18.770161636881401</v>
      </c>
      <c r="G14" s="74">
        <f>+'[2]D_Est ECO_Q6'!J17</f>
        <v>0</v>
      </c>
      <c r="H14" s="254">
        <f>+'[2]D_Est ECO_Q6'!L17</f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f>+'[2]D_Est ECO_Q6'!F18</f>
        <v>53952.982590000021</v>
      </c>
      <c r="E15" s="75">
        <f>+'[2]D_Est ECO_Q6'!H18</f>
        <v>44489.738900000004</v>
      </c>
      <c r="F15" s="75">
        <f>+'[2]D_Est ECO_Q6'!I18</f>
        <v>13.25598299611101</v>
      </c>
      <c r="G15" s="75">
        <f>+'[2]D_Est ECO_Q6'!J18</f>
        <v>9.7818873667258401</v>
      </c>
      <c r="H15" s="254">
        <f>+'[2]D_Est ECO_Q6'!L18</f>
        <v>-17.539797126533639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f>+'[2]D_Est ECO_Q6'!F19</f>
        <v>0</v>
      </c>
      <c r="E16" s="75">
        <f>+'[2]D_Est ECO_Q6'!H19</f>
        <v>0</v>
      </c>
      <c r="F16" s="75">
        <f>+'[2]D_Est ECO_Q6'!I19</f>
        <v>0</v>
      </c>
      <c r="G16" s="75">
        <f>+'[2]D_Est ECO_Q6'!J19</f>
        <v>0</v>
      </c>
      <c r="H16" s="254" t="str">
        <f>+'[2]D_Est ECO_Q6'!L19</f>
        <v>-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f>+'[2]D_Est ECO_Q6'!F20</f>
        <v>0</v>
      </c>
      <c r="E17" s="72">
        <f>+'[2]D_Est ECO_Q6'!H20</f>
        <v>0</v>
      </c>
      <c r="F17" s="72">
        <f>+'[2]D_Est ECO_Q6'!I20</f>
        <v>0</v>
      </c>
      <c r="G17" s="72">
        <f>+'[2]D_Est ECO_Q6'!J20</f>
        <v>0</v>
      </c>
      <c r="H17" s="77" t="str">
        <f>+'[2]D_Est ECO_Q6'!L20</f>
        <v>-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f>+'[2]D_Est ECO_Q6'!F21</f>
        <v>8328.3957200000023</v>
      </c>
      <c r="E18" s="75">
        <f>+'[2]D_Est ECO_Q6'!H21</f>
        <v>7386.0433999999987</v>
      </c>
      <c r="F18" s="72">
        <f>+'[2]D_Est ECO_Q6'!I21</f>
        <v>7.5805804078504391</v>
      </c>
      <c r="G18" s="72">
        <f>+'[2]D_Est ECO_Q6'!J21</f>
        <v>6.0918230951896195</v>
      </c>
      <c r="H18" s="77">
        <f>+'[2]D_Est ECO_Q6'!L21</f>
        <v>-11.314932091147121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f>+'[2]D_Est ECO_Q6'!F27</f>
        <v>1626.4260699999998</v>
      </c>
      <c r="E19" s="72">
        <f>+'[2]D_Est ECO_Q6'!H27</f>
        <v>4447.4019800000005</v>
      </c>
      <c r="F19" s="72">
        <f>+'[2]D_Est ECO_Q6'!I27</f>
        <v>7.3684919021961628</v>
      </c>
      <c r="G19" s="72">
        <f>+'[2]D_Est ECO_Q6'!J27</f>
        <v>18.052375408059653</v>
      </c>
      <c r="H19" s="77">
        <f>+'[2]D_Est ECO_Q6'!L27</f>
        <v>173.44630426392521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f>+'[2]D_Est ECO_Q6'!F28</f>
        <v>113.80703999999997</v>
      </c>
      <c r="E20" s="72">
        <f>+'[2]D_Est ECO_Q6'!H28</f>
        <v>96.16395</v>
      </c>
      <c r="F20" s="72">
        <f>+'[2]D_Est ECO_Q6'!I28</f>
        <v>1.651150343898252</v>
      </c>
      <c r="G20" s="72">
        <f>+'[2]D_Est ECO_Q6'!J28</f>
        <v>1.3269557166039276</v>
      </c>
      <c r="H20" s="77">
        <f>+'[2]D_Est ECO_Q6'!L28</f>
        <v>-15.50263498637692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f>+'[2]D_Est ECO_Q6'!F30</f>
        <v>152307.85017000011</v>
      </c>
      <c r="E22" s="78">
        <f>+'[2]D_Est ECO_Q6'!H30</f>
        <v>147325.38590999992</v>
      </c>
      <c r="F22" s="78">
        <f>+'[2]D_Est ECO_Q6'!I30</f>
        <v>13.16935878900688</v>
      </c>
      <c r="G22" s="78">
        <f>+'[2]D_Est ECO_Q6'!J30</f>
        <v>11.81290366934447</v>
      </c>
      <c r="H22" s="76">
        <f>+'[2]D_Est ECO_Q6'!L30</f>
        <v>-3.271311527566668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f>+'[2]D_Est ECO_Q6'!F32</f>
        <v>5325.380360000001</v>
      </c>
      <c r="E24" s="78">
        <f>+'[2]D_Est ECO_Q6'!H32</f>
        <v>14978.655149999995</v>
      </c>
      <c r="F24" s="78">
        <f>+'[2]D_Est ECO_Q6'!I32</f>
        <v>1.6619839496461761</v>
      </c>
      <c r="G24" s="78">
        <f>+'[2]D_Est ECO_Q6'!J32</f>
        <v>4.8630200449087289</v>
      </c>
      <c r="H24" s="76">
        <f>+'[2]D_Est ECO_Q6'!L32</f>
        <v>181.26920778293461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f>+'[2]D_Est ECO_Q6'!F33</f>
        <v>1192.3757600000004</v>
      </c>
      <c r="E25" s="72">
        <f>+'[2]D_Est ECO_Q6'!H33</f>
        <v>8123.1492299999973</v>
      </c>
      <c r="F25" s="72">
        <f>+'[2]D_Est ECO_Q6'!I33</f>
        <v>0.6765782784440294</v>
      </c>
      <c r="G25" s="72">
        <f>+'[2]D_Est ECO_Q6'!J33</f>
        <v>3.8951464959118485</v>
      </c>
      <c r="H25" s="77">
        <f>+'[2]D_Est ECO_Q6'!L33</f>
        <v>581.25749470116648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f>+'[2]D_Est ECO_Q6'!F34</f>
        <v>4133.0046000000002</v>
      </c>
      <c r="E26" s="59">
        <f>+'[2]D_Est ECO_Q6'!H34</f>
        <v>6855.5059199999987</v>
      </c>
      <c r="F26" s="59">
        <f>+'[2]D_Est ECO_Q6'!I34</f>
        <v>2.9067406734818517</v>
      </c>
      <c r="G26" s="59">
        <f>+'[2]D_Est ECO_Q6'!J34</f>
        <v>7.0337430797641458</v>
      </c>
      <c r="H26" s="77">
        <f>+'[2]D_Est ECO_Q6'!L34</f>
        <v>65.872206384672268</v>
      </c>
      <c r="I26" s="13"/>
      <c r="M26" s="13"/>
      <c r="N26" s="13"/>
      <c r="O26" s="13"/>
    </row>
    <row r="27" spans="1:15" ht="15" hidden="1" customHeight="1">
      <c r="C27" s="61" t="s">
        <v>20</v>
      </c>
      <c r="D27" s="59">
        <f>+'[2]D_Est ECO_Q6'!F35</f>
        <v>3788.9303200000004</v>
      </c>
      <c r="E27" s="59">
        <f>+'[2]D_Est ECO_Q6'!H35</f>
        <v>6815.7486299999991</v>
      </c>
      <c r="F27" s="59">
        <f>+'[2]D_Est ECO_Q6'!I35</f>
        <v>2.8685843138276543</v>
      </c>
      <c r="G27" s="59">
        <f>+'[2]D_Est ECO_Q6'!J35</f>
        <v>7.6664265083491197</v>
      </c>
      <c r="H27" s="77">
        <f>+'[2]D_Est ECO_Q6'!L35</f>
        <v>79.885826720613821</v>
      </c>
      <c r="I27" s="13"/>
      <c r="M27" s="13"/>
      <c r="N27" s="13"/>
      <c r="O27" s="13"/>
    </row>
    <row r="28" spans="1:15" ht="15" hidden="1" customHeight="1">
      <c r="C28" s="63" t="s">
        <v>21</v>
      </c>
      <c r="D28" s="72">
        <f>+'[2]D_Est ECO_Q6'!F36</f>
        <v>1351.0761599999998</v>
      </c>
      <c r="E28" s="72">
        <f>+'[2]D_Est ECO_Q6'!H36</f>
        <v>1020.09887</v>
      </c>
      <c r="F28" s="72">
        <f>+'[2]D_Est ECO_Q6'!I36</f>
        <v>21.31978874558499</v>
      </c>
      <c r="G28" s="72">
        <f>+'[2]D_Est ECO_Q6'!J36</f>
        <v>18.483484161461138</v>
      </c>
      <c r="H28" s="77">
        <f>+'[2]D_Est ECO_Q6'!L36</f>
        <v>-24.497308131023484</v>
      </c>
      <c r="I28" s="13"/>
      <c r="M28" s="13"/>
      <c r="N28" s="13"/>
      <c r="O28" s="13"/>
    </row>
    <row r="29" spans="1:15" ht="15" hidden="1" customHeight="1">
      <c r="C29" s="63" t="s">
        <v>22</v>
      </c>
      <c r="D29" s="72">
        <f>+'[2]D_Est ECO_Q6'!F37</f>
        <v>2437.8541600000003</v>
      </c>
      <c r="E29" s="72">
        <f>+'[2]D_Est ECO_Q6'!H37</f>
        <v>5716.4013299999997</v>
      </c>
      <c r="F29" s="72">
        <f>+'[2]D_Est ECO_Q6'!I37</f>
        <v>2.0027365524317524</v>
      </c>
      <c r="G29" s="72">
        <f>+'[2]D_Est ECO_Q6'!J37</f>
        <v>7.3490676203670837</v>
      </c>
      <c r="H29" s="77">
        <f>+'[2]D_Est ECO_Q6'!L37</f>
        <v>134.48495910026048</v>
      </c>
      <c r="I29" s="13"/>
      <c r="M29" s="13"/>
      <c r="N29" s="13"/>
      <c r="O29" s="13"/>
    </row>
    <row r="30" spans="1:15" ht="15" hidden="1" customHeight="1">
      <c r="C30" s="63" t="s">
        <v>23</v>
      </c>
      <c r="D30" s="72">
        <f>+'[2]D_Est ECO_Q6'!F38</f>
        <v>0</v>
      </c>
      <c r="E30" s="72">
        <f>+'[2]D_Est ECO_Q6'!H38</f>
        <v>79.248429999999999</v>
      </c>
      <c r="F30" s="72">
        <f>+'[2]D_Est ECO_Q6'!I38</f>
        <v>0</v>
      </c>
      <c r="G30" s="72">
        <f>+'[2]D_Est ECO_Q6'!J38</f>
        <v>1.4149372844521291</v>
      </c>
      <c r="H30" s="77" t="str">
        <f>+'[2]D_Est ECO_Q6'!L38</f>
        <v>-</v>
      </c>
      <c r="I30" s="13"/>
      <c r="M30" s="13"/>
      <c r="N30" s="13"/>
      <c r="O30" s="13"/>
    </row>
    <row r="31" spans="1:15" ht="11.25" customHeight="1">
      <c r="C31" s="62" t="s">
        <v>29</v>
      </c>
      <c r="D31" s="75">
        <f>+'[2]D_Est ECO_Q6'!F46</f>
        <v>0</v>
      </c>
      <c r="E31" s="75">
        <f>+'[2]D_Est ECO_Q6'!H46</f>
        <v>0</v>
      </c>
      <c r="F31" s="75">
        <f>+'[2]D_Est ECO_Q6'!I46</f>
        <v>0</v>
      </c>
      <c r="G31" s="75">
        <f>+'[2]D_Est ECO_Q6'!J46</f>
        <v>0</v>
      </c>
      <c r="H31" s="77">
        <f>+'[2]D_Est ECO_Q6'!L46</f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f>+'[2]D_Est ECO_Q6'!F48</f>
        <v>174188.96964000011</v>
      </c>
      <c r="E33" s="142">
        <f>+'[2]D_Est ECO_Q6'!H48</f>
        <v>180865.70135999992</v>
      </c>
      <c r="F33" s="143">
        <f>+'[2]D_Est ECO_Q6'!I48</f>
        <v>11.038740751612698</v>
      </c>
      <c r="G33" s="143">
        <f>+'[2]D_Est ECO_Q6'!J48</f>
        <v>10.594512338497301</v>
      </c>
      <c r="H33" s="141">
        <f>+'[2]D_Est ECO_Q6'!L48</f>
        <v>3.8330393329719694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f>+'[2]D_Est ECO_Q6'!F51</f>
        <v>671.13022000000001</v>
      </c>
      <c r="E36" s="150">
        <f>+'[2]D_Est ECO_Q6'!H51</f>
        <v>25.404040000000002</v>
      </c>
      <c r="F36" s="150">
        <f>+'[2]D_Est ECO_Q6'!I51</f>
        <v>1.2969570305655489</v>
      </c>
      <c r="G36" s="150">
        <f>+'[2]D_Est ECO_Q6'!J51</f>
        <v>2.5831498605666626E-2</v>
      </c>
      <c r="H36" s="128">
        <f>+'[2]D_Est ECO_Q6'!L51</f>
        <v>-96.214737581031599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f>+'[2]D_Est ECO_Q6'!F52</f>
        <v>45439.704549999995</v>
      </c>
      <c r="E37" s="150">
        <f>+'[2]D_Est ECO_Q6'!H52</f>
        <v>44649.332170000001</v>
      </c>
      <c r="F37" s="150">
        <f>+'[2]D_Est ECO_Q6'!I52</f>
        <v>9.0607100513473018</v>
      </c>
      <c r="G37" s="150">
        <f>+'[2]D_Est ECO_Q6'!J52</f>
        <v>16.958688253000524</v>
      </c>
      <c r="H37" s="128">
        <f>+'[2]D_Est ECO_Q6'!L52</f>
        <v>-1.7393871457291277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2023-03-28T10:18:37Z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