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5\Março\"/>
    </mc:Choice>
  </mc:AlternateContent>
  <xr:revisionPtr revIDLastSave="0" documentId="13_ncr:1_{497FBB21-B24A-47CA-AC5F-72C480D0D7F8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Q8_D_Est_Org!$C$1:$M$45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Q8_D_Est_Org!$B$1:$AD$46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Q8_D_Est_Org!$B$1:$AD$46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Q8_D_Est_Org!$N:$AB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Q8_D_Est_Org!$B$1:$AD$46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Q8_D_Est_Org!$B$1:$AD$46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Q8_D_Est_Org!$N:$AB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Q8_D_Est_Org!$B$1:$AD$46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Q8_D_Est_Org!$N:$AB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Q8_D_Est_Org!$B$1:$AD$46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Q8_D_Est_Org!$N:$AB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Q8_D_Est_Org!$B$1:$AD$46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Q8_D_Est_Org!$N:$AB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Q8_D_Est_Org!$B$1:$AD$46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Q8_D_Est_Org!$N:$AB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Q8_D_Est_Org!$B$1:$AD$46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Q8_D_Est_Org!$D$1:$M$46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Q8_D_Est_Org!$N:$AB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Q8_D_Est_Org!$B$1:$AD$46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Q8_D_Est_Org!$N:$AB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Q8_D_Est_Org!$B$1:$AD$46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2" l="1"/>
  <c r="C2" i="12"/>
  <c r="C2" i="39"/>
  <c r="C2" i="13"/>
  <c r="C2" i="51"/>
  <c r="C2" i="61"/>
  <c r="D3" i="61"/>
  <c r="C2" i="38"/>
  <c r="D42" i="38"/>
  <c r="C41" i="38"/>
  <c r="D33" i="38"/>
  <c r="C32" i="38"/>
  <c r="D24" i="38"/>
  <c r="C23" i="38"/>
  <c r="D3" i="38"/>
  <c r="C2" i="8"/>
  <c r="C2" i="60"/>
  <c r="C2" i="9"/>
  <c r="C2" i="50"/>
  <c r="C2" i="10"/>
  <c r="C2" i="11"/>
  <c r="F3" i="11"/>
  <c r="G3" i="32"/>
  <c r="L3" i="12"/>
  <c r="K3" i="12"/>
  <c r="J3" i="12" l="1"/>
  <c r="I3" i="12"/>
  <c r="H3" i="12"/>
  <c r="G3" i="12"/>
  <c r="A15" i="54" l="1"/>
  <c r="E2" i="53"/>
  <c r="A18" i="54" l="1"/>
  <c r="A17" i="54"/>
  <c r="A16" i="54"/>
  <c r="F3" i="50"/>
  <c r="G3" i="50"/>
  <c r="G3" i="9"/>
  <c r="F3" i="9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F3" i="12" l="1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O2" i="12"/>
  <c r="M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<sst xmlns="http://schemas.openxmlformats.org/spreadsheetml/2006/main" count="117" uniqueCount="101">
  <si>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</si>
  <si>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</si>
  <si>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</si>
  <si>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</si>
  <si>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</si>
  <si>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</si>
  <si>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</si>
  <si>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</si>
  <si>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</si>
  <si>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</si>
  <si>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</si>
  <si>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</si>
  <si>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</si>
  <si>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</si>
  <si>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</si>
  <si>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</si>
  <si>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</si>
  <si>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</si>
  <si>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</si>
  <si>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</si>
  <si>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</si>
  <si>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</si>
  <si>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</si>
  <si>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</si>
  <si>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</si>
  <si>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</si>
  <si>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</si>
  <si>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</si>
  <si>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</si>
  <si>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Gabinete do Secretário Regional do Turismo e Cultura</t>
  </si>
  <si>
    <t>Direção Regional da Cultura</t>
  </si>
  <si>
    <t>Direção Regional do Arquivo e Biblioteca da Madeira</t>
  </si>
  <si>
    <t>Direção Regional do Trabalho e Ação Inspetiva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</si>
  <si>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</si>
  <si>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</si>
  <si>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</si>
  <si>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</si>
  <si>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</si>
  <si>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</si>
  <si>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</si>
  <si>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</si>
  <si>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</si>
  <si>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</si>
  <si>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</si>
  <si>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</si>
  <si>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</si>
  <si>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</si>
  <si>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</si>
  <si>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</si>
  <si>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</si>
  <si>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</si>
  <si>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</si>
  <si>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</si>
  <si>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</si>
  <si>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</si>
  <si>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</si>
  <si>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</si>
  <si>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</si>
  <si>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</si>
  <si>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</si>
  <si>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</si>
  <si>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</si>
  <si>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</si>
  <si>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</si>
  <si>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</si>
  <si>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</si>
  <si>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</si>
  <si>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</si>
  <si>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</si>
  <si>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</si>
  <si>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</si>
  <si>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</si>
  <si>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</si>
  <si>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</si>
  <si>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</si>
  <si>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</si>
  <si>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Gabinete do Secretário Regional dos Equipamentos Infraestruturas</t>
  </si>
  <si>
    <t>Direção Regional de Planeamento, Recursos e Infraestruturas</t>
  </si>
  <si>
    <t>Direção Regional dos Assuntos Sociais</t>
  </si>
  <si>
    <t>Instituto das Florestas e Conservação da Natureza, IP-RAM</t>
  </si>
  <si>
    <t>EHTM-Escola de Hotelaria e Turismo da Madeira</t>
  </si>
  <si>
    <t>Escola Básica e Secundária Professor Dr. Francisco de Freitas Branco - Porto Santo</t>
  </si>
  <si>
    <t>Escola Básica dos 2º e 3º Ciclos do Caniço</t>
  </si>
  <si>
    <t>Direção Regional da Saúde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</si>
  <si>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</si>
  <si>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</si>
  <si>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</si>
  <si>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</si>
  <si>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Economia, Turismo e Cultura</t>
  </si>
  <si>
    <t>Secretaria Regional de Agricultura, Pescas e Ambiente</t>
  </si>
  <si>
    <t>Secretaria Regional de Inclusão, Trabalho e Juventude</t>
  </si>
  <si>
    <t>Gabinete do Secretário e Serviços Dependentes-SRS</t>
  </si>
  <si>
    <t>Gabinete da Secretária Regional</t>
  </si>
  <si>
    <t>Direção Regional de Pescas</t>
  </si>
  <si>
    <t>Conservatório -Escola Profissional das Artes da Madeira</t>
  </si>
  <si>
    <t>Escola Básica e Secundária com Pré-Escolar e Creche do Porto Moniz</t>
  </si>
  <si>
    <t>Direção Regional de Agricultura e Desenvolvimento Rural</t>
  </si>
  <si>
    <t>IMT-Instituto de Mobilidade e Transportes, IP-RAM</t>
  </si>
  <si>
    <t>IHM-Investimentos Habitacionais da Madeira, EPERAM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</si>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</sst>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3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0" fontId="70" fillId="0" borderId="38" xfId="0" applyFont="1" applyBorder="1"/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0" fontId="71" fillId="0" borderId="123" xfId="0" applyFont="1" applyBorder="1" applyAlignment="1">
      <alignment vertical="center"/>
    </xf>
    <xf numFmtId="0" fontId="70" fillId="0" borderId="0" xfId="0" applyFont="1"/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5" fillId="0" borderId="25" xfId="62" applyFont="1" applyBorder="1" applyAlignment="1">
      <alignment horizontal="center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21" xfId="62" applyFont="1" applyBorder="1" applyAlignment="1">
      <alignment horizontal="center" vertical="center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  <xf numFmtId="0" fontId="65" fillId="0" borderId="25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2025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23" sqref="R2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L86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9" width="8.28515625" style="187" customWidth="1"/>
    <col min="10" max="10" width="9.5703125" style="187" customWidth="1"/>
    <col min="11" max="11" width="11.85546875" style="187" customWidth="1"/>
    <col min="12" max="12" width="9.85546875" style="187" customWidth="1"/>
    <col min="13" max="13" width="10.85546875" style="187" customWidth="1"/>
    <col min="14" max="14" width="7.28515625" style="186" customWidth="1"/>
    <col min="15" max="25" width="11.42578125" style="186" customWidth="1"/>
    <col min="26" max="26" width="9.140625" style="186" customWidth="1"/>
    <col min="27" max="30" width="11.42578125" style="186" customWidth="1"/>
    <col min="31" max="31" width="22.28515625" style="186" customWidth="1"/>
    <col min="32" max="35" width="8.85546875" style="186"/>
    <col min="36" max="39" width="9.140625" style="186" customWidth="1"/>
    <col min="40" max="41" width="8.85546875" style="186"/>
    <col min="42" max="16384" width="8.85546875" style="187"/>
  </cols>
  <sheetData>
    <row r="1" spans="2:15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</row>
    <row r="2" spans="2:15" ht="13.5" customHeight="1">
      <c r="B2" s="188"/>
      <c r="C2" s="256" t="str">
        <f>+IF(Índice!$D$2=1,"QUADRO VIII - Execução orçamental por classificação cruzada orgânica e económica (janeiro-março)","TABLE VIII - Budget execution by organic and economic cross-classification (january-march)")</f>
        <v>TABLE VIII - Budget execution by organic and economic cross-classification (january-march)</v>
      </c>
      <c r="D2" s="189"/>
      <c r="E2" s="189"/>
      <c r="F2" s="189"/>
      <c r="G2" s="189"/>
      <c r="H2" s="189"/>
      <c r="I2" s="189"/>
      <c r="J2" s="189"/>
      <c r="K2" s="189"/>
      <c r="L2" s="189"/>
      <c r="M2" s="52" t="str">
        <f>+IF(Índice!$D$2=1,"€ Milhares","€ Thousands")</f>
        <v>€ Thousands</v>
      </c>
      <c r="O2" s="190" t="str">
        <f>+IF(Índice!$D$2=1,"índice","Index")</f>
        <v>Index</v>
      </c>
    </row>
    <row r="3" spans="2:15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+IF(Índice!$D$2=1,"Finanças","Finances")</f>
        <v>Finances</v>
      </c>
      <c r="H3" s="192" t="str">
        <f>+IF(Índice!$D$2=1,"Saúde e Proteção Civil","Health and Civil Protection")</f>
        <v>Health and Civil Protection</v>
      </c>
      <c r="I3" s="192" t="str">
        <f>+IF(Índice!$D$2=1,"Economia, Turismo e Cultura","Economy, Tourism and Culture")</f>
        <v>Economy, Tourism and Culture</v>
      </c>
      <c r="J3" s="192" t="str">
        <f>+IF(Índice!$D$2=1,"Agricultura, Pescas e Ambiente","Agriculture, Fisheries and  Enviroment")</f>
        <v>Agriculture, Fisheries and  Enviroment</v>
      </c>
      <c r="K3" s="192" t="str">
        <f>+IF(Índice!$D$2=1,"Equipamentos e Infraestruturas","Equipment and infrastructures")</f>
        <v>Equipment and infrastructures</v>
      </c>
      <c r="L3" s="192" t="str">
        <f>+IF(Índice!$D$2=1,"Inclusão, Trabalho e Jventude","Inclusion, Labor and Youth")</f>
        <v>Inclusion, Labor and Youth</v>
      </c>
      <c r="M3" s="193" t="s">
        <v>5</v>
      </c>
    </row>
    <row r="4" spans="2:15" ht="27" customHeight="1">
      <c r="C4" s="253" t="str">
        <f>+IF(Índice!$D$2=1,"Despesa corrente","Current expenditure")</f>
        <v>Current expenditure</v>
      </c>
      <c r="D4" s="194">
        <v>3095</v>
      </c>
      <c r="E4" s="194">
        <v>507.97147000000001</v>
      </c>
      <c r="F4" s="194">
        <v>103762.41331000002</v>
      </c>
      <c r="G4" s="194">
        <v>40034.825360000003</v>
      </c>
      <c r="H4" s="194">
        <v>97550.799370000008</v>
      </c>
      <c r="I4" s="194">
        <v>5772.9883400000017</v>
      </c>
      <c r="J4" s="194">
        <v>11012.33741</v>
      </c>
      <c r="K4" s="194">
        <v>40677.660649999991</v>
      </c>
      <c r="L4" s="194">
        <v>4809.1517199999998</v>
      </c>
      <c r="M4" s="194">
        <v>307223.14763000002</v>
      </c>
    </row>
    <row r="5" spans="2:15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417.20206000000002</v>
      </c>
      <c r="F5" s="196">
        <v>80187.733730000007</v>
      </c>
      <c r="G5" s="196">
        <v>7508.4557899999982</v>
      </c>
      <c r="H5" s="196">
        <v>1247.08062</v>
      </c>
      <c r="I5" s="196">
        <v>3752.6950700000016</v>
      </c>
      <c r="J5" s="196">
        <v>6608.8063299999994</v>
      </c>
      <c r="K5" s="196">
        <v>4023.5078499999991</v>
      </c>
      <c r="L5" s="196">
        <v>1811.8252300000001</v>
      </c>
      <c r="M5" s="196">
        <v>105557.30667999999</v>
      </c>
      <c r="N5" s="21"/>
    </row>
    <row r="6" spans="2:15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325.83793000000003</v>
      </c>
      <c r="F6" s="198">
        <v>63748.283960000001</v>
      </c>
      <c r="G6" s="198">
        <v>5503.8645599999982</v>
      </c>
      <c r="H6" s="198">
        <v>1002.0632299999999</v>
      </c>
      <c r="I6" s="198">
        <v>2946.5677300000016</v>
      </c>
      <c r="J6" s="198">
        <v>5082.4675299999999</v>
      </c>
      <c r="K6" s="198">
        <v>3095.0890699999991</v>
      </c>
      <c r="L6" s="198">
        <v>1398.2406100000001</v>
      </c>
      <c r="M6" s="198">
        <v>83102.414619999981</v>
      </c>
    </row>
    <row r="7" spans="2:15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25.947839999999999</v>
      </c>
      <c r="F7" s="198">
        <v>6389.4468000000006</v>
      </c>
      <c r="G7" s="198">
        <v>1054.3604</v>
      </c>
      <c r="H7" s="198">
        <v>79.13548999999999</v>
      </c>
      <c r="I7" s="198">
        <v>343.16010999999997</v>
      </c>
      <c r="J7" s="198">
        <v>721.9050400000001</v>
      </c>
      <c r="K7" s="198">
        <v>437.12704000000002</v>
      </c>
      <c r="L7" s="198">
        <v>197.64551</v>
      </c>
      <c r="M7" s="198">
        <v>9248.7282299999988</v>
      </c>
    </row>
    <row r="8" spans="2:15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65.416290000000004</v>
      </c>
      <c r="F8" s="198">
        <v>10050.002969999996</v>
      </c>
      <c r="G8" s="198">
        <v>950.23082999999997</v>
      </c>
      <c r="H8" s="198">
        <v>165.8819</v>
      </c>
      <c r="I8" s="198">
        <v>462.96722999999997</v>
      </c>
      <c r="J8" s="198">
        <v>804.43376000000012</v>
      </c>
      <c r="K8" s="198">
        <v>491.29174000000006</v>
      </c>
      <c r="L8" s="198">
        <v>215.93911000000003</v>
      </c>
      <c r="M8" s="198">
        <v>13206.163829999996</v>
      </c>
    </row>
    <row r="9" spans="2:15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90.769410000000008</v>
      </c>
      <c r="F9" s="196">
        <v>4017.3031500000002</v>
      </c>
      <c r="G9" s="196">
        <v>7631.5779200000034</v>
      </c>
      <c r="H9" s="196">
        <v>271.78362000000004</v>
      </c>
      <c r="I9" s="196">
        <v>1589.0053899999996</v>
      </c>
      <c r="J9" s="196">
        <v>464.84319000000005</v>
      </c>
      <c r="K9" s="196">
        <v>30419.074579999997</v>
      </c>
      <c r="L9" s="196">
        <v>47.604029999999995</v>
      </c>
      <c r="M9" s="196">
        <v>44531.961290000007</v>
      </c>
    </row>
    <row r="10" spans="2:15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14.52777</v>
      </c>
      <c r="F10" s="198">
        <v>2564.4907700000003</v>
      </c>
      <c r="G10" s="198">
        <v>254.01042000000004</v>
      </c>
      <c r="H10" s="198">
        <v>16.801039999999997</v>
      </c>
      <c r="I10" s="198">
        <v>44.890250000000002</v>
      </c>
      <c r="J10" s="198">
        <v>9.8420400000000008</v>
      </c>
      <c r="K10" s="198">
        <v>207.79393000000002</v>
      </c>
      <c r="L10" s="198">
        <v>2.3672500000000003</v>
      </c>
      <c r="M10" s="198">
        <v>3114.7234699999999</v>
      </c>
    </row>
    <row r="11" spans="2:15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76.241640000000004</v>
      </c>
      <c r="F11" s="198">
        <v>1452.8123799999998</v>
      </c>
      <c r="G11" s="198">
        <v>7377.5675000000037</v>
      </c>
      <c r="H11" s="198">
        <v>254.98258000000007</v>
      </c>
      <c r="I11" s="198">
        <v>1544.1151399999997</v>
      </c>
      <c r="J11" s="198">
        <v>455.00115000000005</v>
      </c>
      <c r="K11" s="198">
        <v>30211.280649999997</v>
      </c>
      <c r="L11" s="198">
        <v>45.236779999999996</v>
      </c>
      <c r="M11" s="198">
        <v>41417.237820000002</v>
      </c>
    </row>
    <row r="12" spans="2:15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4.7627199999999998</v>
      </c>
      <c r="G12" s="198">
        <v>22582.365450000005</v>
      </c>
      <c r="H12" s="198">
        <v>5.0889999999999998E-2</v>
      </c>
      <c r="I12" s="198">
        <v>8.5299999999999994E-3</v>
      </c>
      <c r="J12" s="198">
        <v>0</v>
      </c>
      <c r="K12" s="198">
        <v>0</v>
      </c>
      <c r="L12" s="198">
        <v>0</v>
      </c>
      <c r="M12" s="198">
        <v>22587.187590000001</v>
      </c>
    </row>
    <row r="13" spans="2:15" ht="15" customHeight="1">
      <c r="B13" s="195"/>
      <c r="C13" s="104" t="str">
        <f>+IF(Índice!$D$2=1,"Transferências correntes","Current transfers")</f>
        <v>Current transfers</v>
      </c>
      <c r="D13" s="196">
        <v>3095</v>
      </c>
      <c r="E13" s="196">
        <v>0</v>
      </c>
      <c r="F13" s="196">
        <v>19543.217650000002</v>
      </c>
      <c r="G13" s="196">
        <v>2116.26665</v>
      </c>
      <c r="H13" s="196">
        <v>96028.383130000017</v>
      </c>
      <c r="I13" s="196">
        <v>429.69086999999996</v>
      </c>
      <c r="J13" s="196">
        <v>2839.7471800000003</v>
      </c>
      <c r="K13" s="196">
        <v>6198.8352100000002</v>
      </c>
      <c r="L13" s="196">
        <v>2949.7224599999995</v>
      </c>
      <c r="M13" s="196">
        <v>133200.86315000002</v>
      </c>
    </row>
    <row r="14" spans="2:15" ht="15" customHeight="1">
      <c r="B14" s="195"/>
      <c r="C14" s="109" t="str">
        <f>IF(Índice!$D$2=1,"Administração Pública","Public Administration")</f>
        <v>Public Administration</v>
      </c>
      <c r="D14" s="200">
        <v>3095</v>
      </c>
      <c r="E14" s="200">
        <v>0</v>
      </c>
      <c r="F14" s="200">
        <v>5338.4831400000003</v>
      </c>
      <c r="G14" s="200">
        <v>2077.0754299999999</v>
      </c>
      <c r="H14" s="200">
        <v>96019.011170000012</v>
      </c>
      <c r="I14" s="200">
        <v>0</v>
      </c>
      <c r="J14" s="200">
        <v>2833.7031200000001</v>
      </c>
      <c r="K14" s="200">
        <v>6189.8924000000006</v>
      </c>
      <c r="L14" s="200">
        <v>1053.8869599999998</v>
      </c>
      <c r="M14" s="200">
        <v>116607.05222000001</v>
      </c>
    </row>
    <row r="15" spans="2:15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</row>
    <row r="16" spans="2:15" ht="15" customHeight="1">
      <c r="B16" s="195"/>
      <c r="C16" s="201" t="str">
        <f>IF(Índice!$D$2=1,"Administração Regional","Regional Administration")</f>
        <v>Regional Administration</v>
      </c>
      <c r="D16" s="198">
        <v>3095</v>
      </c>
      <c r="E16" s="198">
        <v>0</v>
      </c>
      <c r="F16" s="198">
        <v>5338.4831400000003</v>
      </c>
      <c r="G16" s="198">
        <v>2077.0754299999999</v>
      </c>
      <c r="H16" s="198">
        <v>96019.011170000012</v>
      </c>
      <c r="I16" s="198">
        <v>0</v>
      </c>
      <c r="J16" s="198">
        <v>2833.7031200000001</v>
      </c>
      <c r="K16" s="198">
        <v>6189.8924000000006</v>
      </c>
      <c r="L16" s="198">
        <v>1053.8869599999998</v>
      </c>
      <c r="M16" s="198">
        <v>116607.05222000001</v>
      </c>
    </row>
    <row r="17" spans="2:13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</row>
    <row r="18" spans="2:13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</row>
    <row r="19" spans="2:13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14204.734510000002</v>
      </c>
      <c r="G19" s="200">
        <v>39.191220000000001</v>
      </c>
      <c r="H19" s="200">
        <v>9.3719600000000014</v>
      </c>
      <c r="I19" s="200">
        <v>429.69086999999996</v>
      </c>
      <c r="J19" s="200">
        <v>6.04406</v>
      </c>
      <c r="K19" s="200">
        <v>8.9428099999999997</v>
      </c>
      <c r="L19" s="200">
        <v>1895.8354999999997</v>
      </c>
      <c r="M19" s="200">
        <v>16593.810930000003</v>
      </c>
    </row>
    <row r="20" spans="2:13" hidden="1">
      <c r="B20" s="195"/>
      <c r="C20" s="187">
        <v>0</v>
      </c>
      <c r="D20" s="198">
        <v>0</v>
      </c>
      <c r="E20" s="198">
        <v>0</v>
      </c>
      <c r="F20" s="198">
        <v>5539.5040100000033</v>
      </c>
      <c r="G20" s="198">
        <v>0</v>
      </c>
      <c r="H20" s="198">
        <v>0</v>
      </c>
      <c r="I20" s="198">
        <v>0.25</v>
      </c>
      <c r="J20" s="198">
        <v>0</v>
      </c>
      <c r="K20" s="198">
        <v>0</v>
      </c>
      <c r="L20" s="198">
        <v>0</v>
      </c>
      <c r="M20" s="198">
        <v>5539.7540100000033</v>
      </c>
    </row>
    <row r="21" spans="2:13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</row>
    <row r="22" spans="2:13" hidden="1">
      <c r="B22" s="195"/>
      <c r="C22" s="104">
        <v>0</v>
      </c>
      <c r="D22" s="198">
        <v>0</v>
      </c>
      <c r="E22" s="198">
        <v>0</v>
      </c>
      <c r="F22" s="198">
        <v>7149.8551899999984</v>
      </c>
      <c r="G22" s="198">
        <v>0</v>
      </c>
      <c r="H22" s="198">
        <v>0.5</v>
      </c>
      <c r="I22" s="198">
        <v>373.19832999999994</v>
      </c>
      <c r="J22" s="198">
        <v>0</v>
      </c>
      <c r="K22" s="198">
        <v>0</v>
      </c>
      <c r="L22" s="198">
        <v>1064.9291099999998</v>
      </c>
      <c r="M22" s="198">
        <v>8588.4826299999986</v>
      </c>
    </row>
    <row r="23" spans="2:13" hidden="1">
      <c r="B23" s="195"/>
      <c r="C23" s="104">
        <v>0</v>
      </c>
      <c r="D23" s="198">
        <v>0</v>
      </c>
      <c r="E23" s="198">
        <v>0</v>
      </c>
      <c r="F23" s="198">
        <v>1515.3753100000001</v>
      </c>
      <c r="G23" s="198">
        <v>24.380219999999998</v>
      </c>
      <c r="H23" s="198">
        <v>8.8719600000000014</v>
      </c>
      <c r="I23" s="198">
        <v>27.276540000000001</v>
      </c>
      <c r="J23" s="198">
        <v>6.04406</v>
      </c>
      <c r="K23" s="198">
        <v>8.9428099999999997</v>
      </c>
      <c r="L23" s="198">
        <v>830.90638999999999</v>
      </c>
      <c r="M23" s="198">
        <v>2421.79729</v>
      </c>
    </row>
    <row r="24" spans="2:13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14.811</v>
      </c>
      <c r="H24" s="198">
        <v>0</v>
      </c>
      <c r="I24" s="198">
        <v>28.966000000000001</v>
      </c>
      <c r="J24" s="198">
        <v>0</v>
      </c>
      <c r="K24" s="198">
        <v>0</v>
      </c>
      <c r="L24" s="198">
        <v>0</v>
      </c>
      <c r="M24" s="198">
        <v>43.777000000000001</v>
      </c>
    </row>
    <row r="25" spans="2:13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1082.3677000000002</v>
      </c>
      <c r="K25" s="198">
        <v>20.881450000000001</v>
      </c>
      <c r="L25" s="198">
        <v>0</v>
      </c>
      <c r="M25" s="198">
        <v>1103.2491500000003</v>
      </c>
    </row>
    <row r="26" spans="2:13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9.3960600000000003</v>
      </c>
      <c r="G26" s="198">
        <v>196.15955</v>
      </c>
      <c r="H26" s="198">
        <v>3.5011099999999997</v>
      </c>
      <c r="I26" s="198">
        <v>1.5884800000000003</v>
      </c>
      <c r="J26" s="198">
        <v>16.573010000000004</v>
      </c>
      <c r="K26" s="198">
        <v>15.361559999999999</v>
      </c>
      <c r="L26" s="198">
        <v>0</v>
      </c>
      <c r="M26" s="198">
        <v>242.57977000000002</v>
      </c>
    </row>
    <row r="27" spans="2:13" ht="24.95" customHeight="1">
      <c r="B27" s="195"/>
      <c r="C27" s="202" t="str">
        <f>+IF(Índice!$D$2=1,"Despesa de capital","Capital expenditure")</f>
        <v>Capital expenditure</v>
      </c>
      <c r="D27" s="32">
        <v>0</v>
      </c>
      <c r="E27" s="32">
        <v>2.1715999999999998</v>
      </c>
      <c r="F27" s="32">
        <v>1039.7042800000002</v>
      </c>
      <c r="G27" s="32">
        <v>4030.4614499999998</v>
      </c>
      <c r="H27" s="32">
        <v>225.99573999999998</v>
      </c>
      <c r="I27" s="32">
        <v>504.58458999999999</v>
      </c>
      <c r="J27" s="32">
        <v>978.29120999999998</v>
      </c>
      <c r="K27" s="32">
        <v>12024.167419999998</v>
      </c>
      <c r="L27" s="32">
        <v>917.20909000000006</v>
      </c>
      <c r="M27" s="32">
        <v>19722.58538</v>
      </c>
    </row>
    <row r="28" spans="2:13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2.1715999999999998</v>
      </c>
      <c r="F28" s="198">
        <v>1035.3629800000001</v>
      </c>
      <c r="G28" s="198">
        <v>1039.6022</v>
      </c>
      <c r="H28" s="198">
        <v>9.4319999999999987E-2</v>
      </c>
      <c r="I28" s="198">
        <v>504.58458999999999</v>
      </c>
      <c r="J28" s="198">
        <v>37.82544</v>
      </c>
      <c r="K28" s="198">
        <v>9527.8412099999987</v>
      </c>
      <c r="L28" s="198">
        <v>278.77117000000004</v>
      </c>
      <c r="M28" s="198">
        <v>12426.253509999999</v>
      </c>
    </row>
    <row r="29" spans="2:13" ht="15" customHeight="1">
      <c r="C29" s="104" t="str">
        <f>+IF(Índice!$D$2=1,"Transferências capital","Capital transfers")</f>
        <v>Capital transfers</v>
      </c>
      <c r="D29" s="196">
        <v>0</v>
      </c>
      <c r="E29" s="196">
        <v>0</v>
      </c>
      <c r="F29" s="196">
        <v>4.3412999999999995</v>
      </c>
      <c r="G29" s="196">
        <v>2990.85925</v>
      </c>
      <c r="H29" s="196">
        <v>225.90141999999997</v>
      </c>
      <c r="I29" s="196">
        <v>0</v>
      </c>
      <c r="J29" s="196">
        <v>940.46577000000002</v>
      </c>
      <c r="K29" s="196">
        <v>2496.3262099999997</v>
      </c>
      <c r="L29" s="196">
        <v>638.43792000000008</v>
      </c>
      <c r="M29" s="196">
        <v>7296.33187</v>
      </c>
    </row>
    <row r="30" spans="2:13" ht="15" customHeight="1">
      <c r="C30" s="109" t="str">
        <f>IF(Índice!$D$2=1,"Administração Pública","Public Administration")</f>
        <v>Public Administration</v>
      </c>
      <c r="D30" s="200">
        <v>0</v>
      </c>
      <c r="E30" s="200">
        <v>0</v>
      </c>
      <c r="F30" s="200">
        <v>4.3412999999999995</v>
      </c>
      <c r="G30" s="200">
        <v>650.85924999999997</v>
      </c>
      <c r="H30" s="200">
        <v>225.90141999999997</v>
      </c>
      <c r="I30" s="200">
        <v>0</v>
      </c>
      <c r="J30" s="200">
        <v>940.46577000000002</v>
      </c>
      <c r="K30" s="200">
        <v>2496.3262099999997</v>
      </c>
      <c r="L30" s="200">
        <v>7.7389999999999999</v>
      </c>
      <c r="M30" s="200">
        <v>4325.6329499999993</v>
      </c>
    </row>
    <row r="31" spans="2:13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940.46577000000002</v>
      </c>
      <c r="K31" s="198">
        <v>0</v>
      </c>
      <c r="L31" s="198">
        <v>0</v>
      </c>
      <c r="M31" s="198">
        <v>940.46577000000002</v>
      </c>
    </row>
    <row r="32" spans="2:13" ht="15" customHeight="1">
      <c r="C32" s="201" t="str">
        <f>IF(Índice!$D$2=1,"Administração Regional","Regional Administration")</f>
        <v>Regional Administration</v>
      </c>
      <c r="D32" s="198">
        <v>0</v>
      </c>
      <c r="E32" s="198">
        <v>0</v>
      </c>
      <c r="F32" s="198">
        <v>4.3412999999999995</v>
      </c>
      <c r="G32" s="198">
        <v>650.85924999999997</v>
      </c>
      <c r="H32" s="198">
        <v>225.90141999999997</v>
      </c>
      <c r="I32" s="198">
        <v>0</v>
      </c>
      <c r="J32" s="198">
        <v>0</v>
      </c>
      <c r="K32" s="198">
        <v>2496.3262099999997</v>
      </c>
      <c r="L32" s="198">
        <v>7.7389999999999999</v>
      </c>
      <c r="M32" s="198">
        <v>3385.1671799999999</v>
      </c>
    </row>
    <row r="33" spans="1:168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</row>
    <row r="34" spans="1:168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</row>
    <row r="35" spans="1:168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0</v>
      </c>
      <c r="G35" s="200">
        <v>2340</v>
      </c>
      <c r="H35" s="200">
        <v>0</v>
      </c>
      <c r="I35" s="200">
        <v>0</v>
      </c>
      <c r="J35" s="200">
        <v>0</v>
      </c>
      <c r="K35" s="200">
        <v>0</v>
      </c>
      <c r="L35" s="200">
        <v>630.69892000000004</v>
      </c>
      <c r="M35" s="200">
        <v>2970.6989199999998</v>
      </c>
    </row>
    <row r="36" spans="1:168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</row>
    <row r="37" spans="1:168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</row>
    <row r="38" spans="1:168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3095</v>
      </c>
      <c r="E38" s="204">
        <v>510.14307000000002</v>
      </c>
      <c r="F38" s="204">
        <v>104802.11759000002</v>
      </c>
      <c r="G38" s="204">
        <v>44065.286810000005</v>
      </c>
      <c r="H38" s="204">
        <v>97776.795110000006</v>
      </c>
      <c r="I38" s="204">
        <v>6277.5729300000021</v>
      </c>
      <c r="J38" s="204">
        <v>11990.62862</v>
      </c>
      <c r="K38" s="204">
        <v>52701.828069999989</v>
      </c>
      <c r="L38" s="204">
        <v>5726.3608100000001</v>
      </c>
      <c r="M38" s="204">
        <v>326945.73301000003</v>
      </c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</row>
    <row r="39" spans="1:168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</row>
    <row r="40" spans="1:168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0</v>
      </c>
      <c r="H40" s="208">
        <v>0</v>
      </c>
      <c r="I40" s="208">
        <v>0</v>
      </c>
      <c r="J40" s="208">
        <v>0</v>
      </c>
      <c r="K40" s="208">
        <v>608.14400000000001</v>
      </c>
      <c r="L40" s="208">
        <v>0</v>
      </c>
      <c r="M40" s="208">
        <v>608.14400000000001</v>
      </c>
    </row>
    <row r="41" spans="1:168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52859.12775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52859.12775</v>
      </c>
    </row>
    <row r="42" spans="1:168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</row>
    <row r="43" spans="1:168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</row>
    <row r="44" spans="1:168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35548.075039999996</v>
      </c>
    </row>
    <row r="45" spans="1:168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</row>
    <row r="46" spans="1:168">
      <c r="C46" s="334" t="str">
        <f>+IF(Índice!$D$2=1,"Fonte: Secretaria Regional das Finanças","Source: Regional Finance Secretariat")</f>
        <v>Source: Regional Finance Secretariat</v>
      </c>
      <c r="D46" s="334" t="str">
        <f>+IF(Índice!$D$2="PT","Fonte: Vice-Presidência do Governo Regional","Source: Vice-Presidency of the Regional Government")</f>
        <v>Source: Vice-Presidency of the Regional Government</v>
      </c>
      <c r="E46" s="334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</row>
    <row r="47" spans="1:168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</row>
    <row r="48" spans="1:168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</row>
    <row r="49" spans="3:13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</row>
    <row r="50" spans="3:13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</row>
    <row r="51" spans="3:13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</row>
    <row r="52" spans="3:13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</row>
    <row r="53" spans="3:13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</row>
    <row r="54" spans="3:13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</row>
    <row r="55" spans="3:13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</row>
    <row r="56" spans="3:13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</row>
    <row r="57" spans="3:13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</row>
    <row r="58" spans="3:13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</row>
    <row r="59" spans="3:13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</row>
    <row r="60" spans="3:13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</row>
    <row r="61" spans="3:13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</row>
    <row r="62" spans="3:13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</row>
    <row r="63" spans="3:13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</row>
    <row r="64" spans="3:13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</row>
    <row r="65" spans="3:13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</row>
    <row r="66" spans="3:13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</row>
    <row r="67" spans="3:13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</row>
    <row r="68" spans="3:13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</row>
    <row r="69" spans="3:13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</row>
    <row r="70" spans="3:13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</row>
    <row r="71" spans="3:13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</row>
    <row r="72" spans="3:13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</row>
    <row r="73" spans="3:13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</row>
    <row r="74" spans="3:13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</row>
    <row r="75" spans="3:13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</row>
    <row r="76" spans="3:13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</row>
    <row r="77" spans="3:13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</row>
    <row r="78" spans="3:13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</row>
    <row r="79" spans="3:13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</row>
    <row r="80" spans="3:13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</row>
    <row r="81" spans="3:13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</row>
    <row r="82" spans="3:13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</row>
    <row r="83" spans="3:13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</row>
    <row r="84" spans="3:13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</row>
    <row r="85" spans="3:13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</row>
    <row r="86" spans="3:13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O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C48" sqref="C48:G5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(janeiro-março)","TABLE IX - RPEs global balance (january-march)")</f>
        <v>TABLE IX - RPEs global balance (january-march)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2024</v>
      </c>
      <c r="E3" s="173">
        <v>2025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34442.34928999994</v>
      </c>
      <c r="E5" s="82">
        <v>3061.2364699999162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Source: Regional Finance Secretariat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(janeiro-março)","TABLE X - ASFs and RPEs budget execution (january-march)")</f>
        <v>TABLE X - ASFs and RPEs budget execution (january-march)</v>
      </c>
      <c r="D2" s="336"/>
      <c r="E2" s="336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5631.2671999999875</v>
      </c>
      <c r="E4" s="98">
        <v>3061.2364699999162</v>
      </c>
      <c r="F4" s="98">
        <v>8692.5036699999037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123222.07150999995</v>
      </c>
      <c r="E7" s="74">
        <v>115884.31003000005</v>
      </c>
      <c r="F7" s="74">
        <v>239106.38154000003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5631.5848699999879</v>
      </c>
      <c r="E8" s="74">
        <v>3235.5313999999162</v>
      </c>
      <c r="F8" s="74">
        <v>8867.116269999904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5043.0712099999946</v>
      </c>
      <c r="E9" s="74">
        <v>-1807.194820000077</v>
      </c>
      <c r="F9" s="74">
        <v>3235.8763899999321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588.19598999999994</v>
      </c>
      <c r="E10" s="74">
        <v>4868.431289999995</v>
      </c>
      <c r="F10" s="74">
        <v>5456.6272799999933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Source: Regional Finance Secretariat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(janeiro-março)","TABLE XI - ASFs and RPEs budget execution (january-march)")</f>
        <v>TABLE XI - ASFs and RPEs budget execution (january-march)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127593.97903999995</v>
      </c>
      <c r="E4" s="108">
        <v>101095.33107999997</v>
      </c>
      <c r="F4" s="108">
        <v>228689.31011999992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2484.1958699999996</v>
      </c>
      <c r="E8" s="74">
        <v>3349.2282099999998</v>
      </c>
      <c r="F8" s="74">
        <v>5833.4240799999989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123546.14457999996</v>
      </c>
      <c r="E9" s="74">
        <v>89027.060399999973</v>
      </c>
      <c r="F9" s="74">
        <v>212573.20497999992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13615.213899999999</v>
      </c>
      <c r="E10" s="74">
        <v>597.87368000000004</v>
      </c>
      <c r="F10" s="74">
        <v>14213.087579999999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109369.48580999995</v>
      </c>
      <c r="E11" s="74">
        <v>88429.186719999969</v>
      </c>
      <c r="F11" s="74">
        <v>197798.67252999992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1167.7329600000003</v>
      </c>
      <c r="E12" s="74">
        <v>4404.8756500000009</v>
      </c>
      <c r="F12" s="74">
        <v>5572.6086100000011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395.90563000000003</v>
      </c>
      <c r="E13" s="74">
        <v>4314.1668200000004</v>
      </c>
      <c r="F13" s="74">
        <v>4710.0724500000006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1259.67734</v>
      </c>
      <c r="E14" s="83">
        <v>18024.510349999993</v>
      </c>
      <c r="F14" s="83">
        <v>19284.187689999992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1174.634</v>
      </c>
      <c r="F15" s="34">
        <v>1174.634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1217.37645</v>
      </c>
      <c r="E16" s="34">
        <v>16834.085249999996</v>
      </c>
      <c r="F16" s="74">
        <v>18051.461699999996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746.18689999999992</v>
      </c>
      <c r="E17" s="34">
        <v>9214.0529499999993</v>
      </c>
      <c r="F17" s="74">
        <v>9960.2398499999999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471.18955000000005</v>
      </c>
      <c r="E18" s="74">
        <v>7620.0322999999971</v>
      </c>
      <c r="F18" s="74">
        <v>8091.2218499999972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14.741100000000001</v>
      </c>
      <c r="F19" s="74">
        <v>14.741100000000001</v>
      </c>
    </row>
    <row r="20" spans="2:6" ht="11.25" customHeight="1">
      <c r="C20" s="110" t="str">
        <f>+IF(Índice!$D$2=1,"Receita efetiva","Effective revenue")</f>
        <v>Effective revenue</v>
      </c>
      <c r="D20" s="83">
        <v>128853.65637999994</v>
      </c>
      <c r="E20" s="83">
        <v>119119.84142999997</v>
      </c>
      <c r="F20" s="83">
        <v>247973.49780999991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122550.90782999995</v>
      </c>
      <c r="E22" s="83">
        <v>102902.52590000005</v>
      </c>
      <c r="F22" s="83">
        <v>225453.43372999999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14541.992729999998</v>
      </c>
      <c r="E23" s="74">
        <v>67529.93505</v>
      </c>
      <c r="F23" s="74">
        <v>82071.927779999998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16061.172249999978</v>
      </c>
      <c r="E24" s="74">
        <v>31262.804650000042</v>
      </c>
      <c r="F24" s="74">
        <v>47323.976900000023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0.31766999999999995</v>
      </c>
      <c r="E25" s="74">
        <v>174.29493000000002</v>
      </c>
      <c r="F25" s="74">
        <v>174.61260000000001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86058.335619999983</v>
      </c>
      <c r="E26" s="74">
        <v>3603.4310700000005</v>
      </c>
      <c r="F26" s="74">
        <v>89661.766689999989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605.38869</v>
      </c>
      <c r="E27" s="74">
        <v>0</v>
      </c>
      <c r="F27" s="59">
        <v>605.38869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85452.946929999976</v>
      </c>
      <c r="E28" s="74">
        <v>3603.4310700000005</v>
      </c>
      <c r="F28" s="59">
        <v>89056.377999999982</v>
      </c>
    </row>
    <row r="29" spans="2:6" ht="11.25" customHeight="1">
      <c r="C29" s="104" t="str">
        <f>+IF(Índice!$D$2=1,"Subsídios","Subsidies")</f>
        <v>Subsidies</v>
      </c>
      <c r="D29" s="74">
        <v>5859.6261099999992</v>
      </c>
      <c r="E29" s="74">
        <v>0</v>
      </c>
      <c r="F29" s="74">
        <v>5859.6261099999992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29.463450000000002</v>
      </c>
      <c r="E30" s="74">
        <v>332.06020000000001</v>
      </c>
      <c r="F30" s="74">
        <v>361.52365000000003</v>
      </c>
    </row>
    <row r="31" spans="2:6" ht="11.25" customHeight="1">
      <c r="C31" s="110" t="str">
        <f>+IF(Índice!$D$2=1,"Despesa de capital","Capital expenditure")</f>
        <v>Capital expenditure</v>
      </c>
      <c r="D31" s="83">
        <v>671.48135000000002</v>
      </c>
      <c r="E31" s="83">
        <v>13156.079059999998</v>
      </c>
      <c r="F31" s="83">
        <v>13827.560409999998</v>
      </c>
    </row>
    <row r="32" spans="2:6" ht="11.25" customHeight="1">
      <c r="C32" s="104" t="str">
        <f>+IF(Índice!$D$2=1,"Investimento","Investment")</f>
        <v>Investment</v>
      </c>
      <c r="D32" s="74">
        <v>136.10885000000002</v>
      </c>
      <c r="E32" s="74">
        <v>12793.806379999998</v>
      </c>
      <c r="F32" s="74">
        <v>12929.915229999999</v>
      </c>
    </row>
    <row r="33" spans="3:6" ht="11.25" customHeight="1">
      <c r="C33" s="104" t="str">
        <f>+IF(Índice!$D$2=1,"Transferências capital","Capital transfers")</f>
        <v>Capital transfers</v>
      </c>
      <c r="D33" s="74">
        <v>535.37249999999995</v>
      </c>
      <c r="E33" s="74">
        <v>362.27267999999998</v>
      </c>
      <c r="F33" s="74">
        <v>897.64517999999998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123222.38917999995</v>
      </c>
      <c r="E36" s="83">
        <v>116058.60496000006</v>
      </c>
      <c r="F36" s="83">
        <v>239280.99414000002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1714.5375399999998</v>
      </c>
      <c r="E38" s="35">
        <v>435.04479000000003</v>
      </c>
      <c r="F38" s="35">
        <v>2149.5823299999997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145.01401000000001</v>
      </c>
      <c r="F39" s="35">
        <v>145.01401000000001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5631.2671999999875</v>
      </c>
      <c r="E44" s="114">
        <v>3061.2364699999162</v>
      </c>
      <c r="F44" s="114">
        <v>8692.5036699999037</v>
      </c>
    </row>
    <row r="45" spans="3:6" ht="15" customHeight="1">
      <c r="C45" s="334" t="str">
        <f>+IF(Índice!$D$2=1,"Fonte: Secretaria Regional das Finanças","Source: Regional Finance Secretariat")</f>
        <v>Source: Regional Finance Secretariat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C48" sqref="C48:G50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(março)","TABLE XII - ASFs and RPEs budget execution (march)")</f>
        <v>TABLE XII - ASFs and RPEs budget execution (march)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+IF(Índice!$D$2=1,"março 2025","march 2025")</f>
        <v>march 2025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89289.828689999951</v>
      </c>
      <c r="E5" s="317">
        <v>65215.44013999997</v>
      </c>
      <c r="F5" s="317">
        <v>154505.26882999993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89289.828689999951</v>
      </c>
      <c r="E9" s="74">
        <v>65215.44013999997</v>
      </c>
      <c r="F9" s="74">
        <v>154505.26882999993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85972.227739999944</v>
      </c>
      <c r="E10" s="74">
        <v>56410.020529999972</v>
      </c>
      <c r="F10" s="74">
        <v>142382.24826999992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1213.2736699999998</v>
      </c>
      <c r="E11" s="83">
        <v>13316.796689999996</v>
      </c>
      <c r="F11" s="83">
        <v>14530.070359999996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1174.634</v>
      </c>
      <c r="F12" s="34">
        <v>1174.634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1201.0777499999999</v>
      </c>
      <c r="E13" s="34">
        <v>12126.371589999997</v>
      </c>
      <c r="F13" s="74">
        <v>13327.449339999997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90503.102359999946</v>
      </c>
      <c r="E15" s="83">
        <v>78532.236829999965</v>
      </c>
      <c r="F15" s="83">
        <v>169035.33918999991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88600.278309999965</v>
      </c>
      <c r="E17" s="83">
        <v>73330.54988000002</v>
      </c>
      <c r="F17" s="83">
        <v>161930.82818999997</v>
      </c>
    </row>
    <row r="18" spans="3:6" ht="11.25" customHeight="1">
      <c r="C18" s="104" t="str">
        <f>+IF(Índice!$D$2=1,"Consumo público","Public consumption")</f>
        <v>Public consumption</v>
      </c>
      <c r="D18" s="74">
        <v>26618.977129999977</v>
      </c>
      <c r="E18" s="74">
        <v>70644.587630000024</v>
      </c>
      <c r="F18" s="74">
        <v>97263.564760000008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10709.172109999998</v>
      </c>
      <c r="E19" s="74">
        <v>50717.740109999992</v>
      </c>
      <c r="F19" s="74">
        <v>61426.912219999991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15909.805019999978</v>
      </c>
      <c r="E20" s="74">
        <v>19926.847520000039</v>
      </c>
      <c r="F20" s="74">
        <v>35836.652540000017</v>
      </c>
    </row>
    <row r="21" spans="3:6" ht="11.25" customHeight="1">
      <c r="C21" s="104" t="str">
        <f>+IF(Índice!$D$2=1,"Subsídios","Subsidies")</f>
        <v>Subsidies</v>
      </c>
      <c r="D21" s="74">
        <v>5636.3449099999989</v>
      </c>
      <c r="E21" s="74">
        <v>0</v>
      </c>
      <c r="F21" s="74">
        <v>5636.3449099999989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0.28088999999999997</v>
      </c>
      <c r="E22" s="74">
        <v>173.98456000000002</v>
      </c>
      <c r="F22" s="59">
        <v>174.26545000000002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56344.675379999986</v>
      </c>
      <c r="E23" s="74">
        <v>2511.9776900000006</v>
      </c>
      <c r="F23" s="59">
        <v>58856.653069999986</v>
      </c>
    </row>
    <row r="24" spans="3:6" ht="11.25" customHeight="1">
      <c r="C24" s="110" t="str">
        <f>+IF(Índice!$D$2=1,"Despesa de capital","Capital expenditure")</f>
        <v>Capital expenditure</v>
      </c>
      <c r="D24" s="83">
        <v>669.87550999999996</v>
      </c>
      <c r="E24" s="83">
        <v>13017.462419999998</v>
      </c>
      <c r="F24" s="83">
        <v>13687.337929999998</v>
      </c>
    </row>
    <row r="25" spans="3:6" ht="11.25" customHeight="1">
      <c r="C25" s="104" t="str">
        <f>+IF(Índice!$D$2=1,"Investimento","Investment")</f>
        <v>Investment</v>
      </c>
      <c r="D25" s="74">
        <v>134.50301000000002</v>
      </c>
      <c r="E25" s="74">
        <v>12706.189739999998</v>
      </c>
      <c r="F25" s="74">
        <v>12840.692749999998</v>
      </c>
    </row>
    <row r="26" spans="3:6" ht="11.25" customHeight="1">
      <c r="C26" s="104" t="str">
        <f>+IF(Índice!$D$2=1,"Transferências capital","Capital transfers")</f>
        <v>Capital transfers</v>
      </c>
      <c r="D26" s="74">
        <v>535.37249999999995</v>
      </c>
      <c r="E26" s="74">
        <v>311.27267999999998</v>
      </c>
      <c r="F26" s="74">
        <v>846.64517999999998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89270.153819999963</v>
      </c>
      <c r="E29" s="83">
        <v>86348.012300000017</v>
      </c>
      <c r="F29" s="83">
        <v>175618.16611999998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1232.948539999983</v>
      </c>
      <c r="E31" s="319">
        <v>-7815.7754700000514</v>
      </c>
      <c r="F31" s="319">
        <v>-6582.8269300000684</v>
      </c>
    </row>
    <row r="32" spans="3:6" ht="15" customHeight="1">
      <c r="C32" s="334" t="str">
        <f>+IF(Índice!$D$2=1,"Fonte: Secretaria Regional das Finanças","Source: Regional Finance Secretariat")</f>
        <v>Source: Regional Finance Secretariat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O14" sqref="O14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março de 2025 (valores acumulados)","Table XIII- Accounts payable of the Regional Administration, march (accumulated)")</f>
        <v>Table XIII- Accounts payable of the Regional Administration, march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0" t="s">
        <v>7</v>
      </c>
      <c r="D3" s="337" t="str">
        <f>+IF(Índice!$D$2=1,"março 2025","march 2025")</f>
        <v>march 2025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Change from period initial stock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Accumulated</v>
      </c>
      <c r="E4" s="352"/>
      <c r="F4" s="352"/>
      <c r="G4" s="349" t="str">
        <f>+IF(Índice!$D$2=1,"Passivo","Liabilities")</f>
        <v>Liabilities</v>
      </c>
      <c r="H4" s="349" t="str">
        <f>+IF(Índice!$D$2=1,"Contas a pagar","Accounts payable")</f>
        <v>Accounts payable</v>
      </c>
      <c r="I4" s="338" t="str">
        <f>+IF(Índice!$D$2=1,"Pagamentos em atraso","Late payments")</f>
        <v>Late payments</v>
      </c>
    </row>
    <row r="5" spans="2:11" ht="22.5">
      <c r="B5" s="29"/>
      <c r="C5" s="340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0"/>
      <c r="H5" s="350"/>
      <c r="I5" s="339"/>
    </row>
    <row r="6" spans="2:11">
      <c r="B6" s="29"/>
      <c r="C6" s="119" t="str">
        <f>+IF(Índice!$D$2=1,"Despesa corrente","Current expenditure")</f>
        <v>Current expenditure</v>
      </c>
      <c r="D6" s="162">
        <v>128145244.89999998</v>
      </c>
      <c r="E6" s="162">
        <v>117441285.77999994</v>
      </c>
      <c r="F6" s="162">
        <v>57566955.889999993</v>
      </c>
      <c r="G6" s="91">
        <v>0.21531759196710376</v>
      </c>
      <c r="H6" s="91">
        <v>0.25210953307333628</v>
      </c>
      <c r="I6" s="116">
        <v>0.39694439767488143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11105958.34</v>
      </c>
      <c r="E7" s="165">
        <v>10271283.73</v>
      </c>
      <c r="F7" s="165">
        <v>537.24</v>
      </c>
      <c r="G7" s="95">
        <v>6.9417349490865359</v>
      </c>
      <c r="H7" s="95">
        <v>8.1647937018208339</v>
      </c>
      <c r="I7" s="121">
        <v>-7.3068893528183576E-2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94040719.389999956</v>
      </c>
      <c r="E8" s="165">
        <v>92707537.939999953</v>
      </c>
      <c r="F8" s="165">
        <v>55874289.429999992</v>
      </c>
      <c r="G8" s="95">
        <v>4.6833283961617456E-2</v>
      </c>
      <c r="H8" s="95">
        <v>9.5766278945246253E-2</v>
      </c>
      <c r="I8" s="121">
        <v>0.40952480644276479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7874184.8599999994</v>
      </c>
      <c r="E9" s="165">
        <v>4364994.6900000004</v>
      </c>
      <c r="F9" s="165">
        <v>1495934.5100000009</v>
      </c>
      <c r="G9" s="95">
        <v>-0.11495229358106074</v>
      </c>
      <c r="H9" s="95">
        <v>1.0048560560930815</v>
      </c>
      <c r="I9" s="121">
        <v>7.242674673609617E-3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14534073.73</v>
      </c>
      <c r="E10" s="165">
        <v>9515420.2999999989</v>
      </c>
      <c r="F10" s="165">
        <v>189181.27000000002</v>
      </c>
      <c r="G10" s="95">
        <v>2.1480959581999435</v>
      </c>
      <c r="H10" s="95">
        <v>7.0781873183118922</v>
      </c>
      <c r="I10" s="121">
        <v>1.2827933345005853</v>
      </c>
    </row>
    <row r="11" spans="2:11">
      <c r="B11" s="29"/>
      <c r="C11" s="120" t="str">
        <f>+IF(Índice!$D$2=1,"Subsídios","Subsidies")</f>
        <v>Subsidies</v>
      </c>
      <c r="D11" s="165">
        <v>563273.85</v>
      </c>
      <c r="E11" s="165">
        <v>563273.85</v>
      </c>
      <c r="F11" s="165">
        <v>6962.44</v>
      </c>
      <c r="G11" s="95">
        <v>-0.18090204452589365</v>
      </c>
      <c r="H11" s="95">
        <v>-0.98971032585834307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27034.73</v>
      </c>
      <c r="E12" s="165">
        <v>18775.27</v>
      </c>
      <c r="F12" s="165">
        <v>51</v>
      </c>
      <c r="G12" s="95">
        <v>2.1945485934274473</v>
      </c>
      <c r="H12" s="95">
        <v>32.943683532500017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37312236.640000001</v>
      </c>
      <c r="E13" s="163">
        <v>22467131.850000001</v>
      </c>
      <c r="F13" s="163">
        <v>78058.749999999985</v>
      </c>
      <c r="G13" s="92">
        <v>-7.195948111649586E-2</v>
      </c>
      <c r="H13" s="92">
        <v>-7.4121613053794055E-2</v>
      </c>
      <c r="I13" s="117">
        <v>-0.4505313304928884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18075751.459999997</v>
      </c>
      <c r="E14" s="165">
        <v>9123886.8100000005</v>
      </c>
      <c r="F14" s="165">
        <v>78058.749999999985</v>
      </c>
      <c r="G14" s="95">
        <v>-0.21936137770193775</v>
      </c>
      <c r="H14" s="95">
        <v>-0.25193555332896622</v>
      </c>
      <c r="I14" s="121">
        <v>-0.4505313304928884</v>
      </c>
    </row>
    <row r="15" spans="2:11">
      <c r="B15" s="29"/>
      <c r="C15" s="120" t="str">
        <f>+IF(Índice!$D$2=1,"Transferências capital","Capital transfers")</f>
        <v>Capital transfers</v>
      </c>
      <c r="D15" s="165">
        <v>19236485.18</v>
      </c>
      <c r="E15" s="165">
        <v>13343245.039999999</v>
      </c>
      <c r="F15" s="165">
        <v>0</v>
      </c>
      <c r="G15" s="95">
        <v>0.12821882952443397</v>
      </c>
      <c r="H15" s="95">
        <v>0.15410696679243219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165457481.53999996</v>
      </c>
      <c r="E17" s="164">
        <v>139908417.62999994</v>
      </c>
      <c r="F17" s="164">
        <v>57645014.639999993</v>
      </c>
      <c r="G17" s="147">
        <v>0.13601575335773708</v>
      </c>
      <c r="H17" s="147">
        <v>0.18390166584578282</v>
      </c>
      <c r="I17" s="148">
        <v>0.39403289498864957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113460779.33</v>
      </c>
      <c r="E19" s="164">
        <v>87924199.359999999</v>
      </c>
      <c r="F19" s="164">
        <v>21235241.559999995</v>
      </c>
      <c r="G19" s="147">
        <v>0.28469355854722855</v>
      </c>
      <c r="H19" s="147">
        <v>0.3995523400927572</v>
      </c>
      <c r="I19" s="148">
        <v>2.6442213353255313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2025 (valores acumulados)","Table XIV - Accounts payable of the Regional Gov., march (accumulated)")</f>
        <v>Table XIV - Accounts payable of the Regional Gov., march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0" t="str">
        <f>+IF(Índice!$D$2=1,"Governo Regional","Regional Government")</f>
        <v>Regional Government</v>
      </c>
      <c r="D24" s="337" t="str">
        <f>+IF(Índice!$D$2=1,"março 2025","march 2025")</f>
        <v>march 2025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Change from january initial stock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Accumulated</v>
      </c>
      <c r="E25" s="352"/>
      <c r="F25" s="352"/>
      <c r="G25" s="349" t="str">
        <f>+IF(Índice!$D$2=1,"Passivo","Liabilities")</f>
        <v>Liabilities</v>
      </c>
      <c r="H25" s="349" t="str">
        <f>+IF(Índice!$D$2=1,"Contas a pagar","Accounts payable")</f>
        <v>Accounts payable</v>
      </c>
      <c r="I25" s="338" t="str">
        <f>+IF(Índice!$D$2=1,"Pagamentos em atraso","Late payments")</f>
        <v>Late payments</v>
      </c>
    </row>
    <row r="26" spans="2:9" ht="22.5">
      <c r="B26" s="29"/>
      <c r="C26" s="340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22734676.280000001</v>
      </c>
      <c r="E27" s="162">
        <v>15856121.240000002</v>
      </c>
      <c r="F27" s="162">
        <v>1132583.73</v>
      </c>
      <c r="G27" s="91">
        <v>2.1090115928782001</v>
      </c>
      <c r="H27" s="91">
        <v>3.8302638402999278</v>
      </c>
      <c r="I27" s="116">
        <v>8.0654664007845156E-2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26163383.210000001</v>
      </c>
      <c r="E28" s="163">
        <v>20035413.420000002</v>
      </c>
      <c r="F28" s="163">
        <v>630</v>
      </c>
      <c r="G28" s="92">
        <v>-3.3686991179923353E-2</v>
      </c>
      <c r="H28" s="172">
        <v>-3.9882867302572733E-2</v>
      </c>
      <c r="I28" s="117">
        <v>0</v>
      </c>
    </row>
    <row r="29" spans="2:9" ht="20.100000000000001" customHeight="1">
      <c r="B29" s="29"/>
      <c r="C29" s="146" t="s">
        <v>7</v>
      </c>
      <c r="D29" s="164">
        <v>48898059.490000002</v>
      </c>
      <c r="E29" s="164">
        <v>35891534.660000004</v>
      </c>
      <c r="F29" s="164">
        <v>1133213.73</v>
      </c>
      <c r="G29" s="147">
        <v>0.42195191669772969</v>
      </c>
      <c r="H29" s="147">
        <v>0.48617112960702014</v>
      </c>
      <c r="I29" s="148">
        <v>8.0606210450525628E-2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2025 (valores acumulados)","Table XV - Accounts payable of the ASFs, march (accumulated)")</f>
        <v>Table XV - Accounts payable of the ASFs, march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1" t="str">
        <f>+IF(Índice!$D$2=1,"Serviços e Fundos Autónomos","Autonomous Services and Funds")</f>
        <v>Autonomous Services and Funds</v>
      </c>
      <c r="D33" s="337" t="str">
        <f>+IF(Índice!$D$2=1,"março 2025","march 2025")</f>
        <v>march 2025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Change from january initial stock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Accumulated</v>
      </c>
      <c r="E34" s="347"/>
      <c r="F34" s="348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38" t="str">
        <f>+IF(Índice!$D$2=1,"Pagamentos em atraso","Late payments")</f>
        <v>Late payments</v>
      </c>
    </row>
    <row r="35" spans="2:9" ht="22.5">
      <c r="C35" s="343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Current expenditure</v>
      </c>
      <c r="D36" s="162">
        <v>51129917.820000023</v>
      </c>
      <c r="E36" s="162">
        <v>49877764.900000006</v>
      </c>
      <c r="F36" s="162">
        <v>20102027.830000002</v>
      </c>
      <c r="G36" s="91">
        <v>0.30577301186031014</v>
      </c>
      <c r="H36" s="91">
        <v>0.38226087769337669</v>
      </c>
      <c r="I36" s="116">
        <v>3.2068387780763778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349583.31</v>
      </c>
      <c r="E37" s="163">
        <v>349583.31</v>
      </c>
      <c r="F37" s="163">
        <v>0</v>
      </c>
      <c r="G37" s="92">
        <v>1.3636219990422007</v>
      </c>
      <c r="H37" s="92">
        <v>2.5985990138168282</v>
      </c>
      <c r="I37" s="117">
        <v>0</v>
      </c>
    </row>
    <row r="38" spans="2:9" ht="20.100000000000001" customHeight="1">
      <c r="C38" s="146" t="s">
        <v>7</v>
      </c>
      <c r="D38" s="164">
        <v>51479501.130000025</v>
      </c>
      <c r="E38" s="164">
        <v>50227348.210000008</v>
      </c>
      <c r="F38" s="164">
        <v>20102027.830000002</v>
      </c>
      <c r="G38" s="147">
        <v>0.30975364015554918</v>
      </c>
      <c r="H38" s="147">
        <v>0.39093333609469316</v>
      </c>
      <c r="I38" s="148">
        <v>3.2068387780763778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março de 2025 (valores acumulados)","Table XVI - Accounts payable of the RPEs, march (accumulated)")</f>
        <v>Table XVI - Accounts payable of the RPEs, march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1" t="str">
        <f>+IF(Índice!$D$2=1,"Entidades Públicas Reclassseicadas","Reclassseied Public Entities")</f>
        <v>Reclassseied Public Entities</v>
      </c>
      <c r="D42" s="337" t="str">
        <f>+IF(Índice!$D$2=1,"março 2025","march 2025")</f>
        <v>march 2025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Change from january initial stock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Accumulated</v>
      </c>
      <c r="E43" s="347"/>
      <c r="F43" s="348"/>
      <c r="G43" s="349" t="str">
        <f>+IF(Índice!$D$2=1,"Passivo","Liabilities")</f>
        <v>Liabilities</v>
      </c>
      <c r="H43" s="349" t="str">
        <f>+IF(Índice!$D$2=1,"Contas a pagar","Accounts payable")</f>
        <v>Accounts payable</v>
      </c>
      <c r="I43" s="338" t="str">
        <f>+IF(Índice!$D$2=1,"Pagamentos em atraso","Late payments")</f>
        <v>Late payments</v>
      </c>
    </row>
    <row r="44" spans="2:9" ht="22.5">
      <c r="C44" s="343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Current expenditure</v>
      </c>
      <c r="D45" s="162">
        <v>54280650.799999945</v>
      </c>
      <c r="E45" s="162">
        <v>51707399.639999941</v>
      </c>
      <c r="F45" s="162">
        <v>36332344.329999991</v>
      </c>
      <c r="G45" s="91">
        <v>-7.9559124850887009E-2</v>
      </c>
      <c r="H45" s="91">
        <v>-2.8274569854119136E-2</v>
      </c>
      <c r="I45" s="116">
        <v>2.6838459759225053E-2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10799270.120000001</v>
      </c>
      <c r="E46" s="163">
        <v>2082135.1199999996</v>
      </c>
      <c r="F46" s="163">
        <v>77428.749999999985</v>
      </c>
      <c r="G46" s="92">
        <v>-0.16813638695907507</v>
      </c>
      <c r="H46" s="92">
        <v>-0.44787279343966013</v>
      </c>
      <c r="I46" s="117">
        <v>-0.45253819072652757</v>
      </c>
    </row>
    <row r="47" spans="2:9" ht="20.100000000000001" customHeight="1">
      <c r="C47" s="146" t="s">
        <v>7</v>
      </c>
      <c r="D47" s="164">
        <v>65079920.919999942</v>
      </c>
      <c r="E47" s="164">
        <v>53789534.759999938</v>
      </c>
      <c r="F47" s="164">
        <v>36409773.079999991</v>
      </c>
      <c r="G47" s="147">
        <v>-9.5540228456824194E-2</v>
      </c>
      <c r="H47" s="147">
        <v>-5.8623371280375647E-2</v>
      </c>
      <c r="I47" s="148">
        <v>2.4929918755522529E-2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1"/>
  <sheetViews>
    <sheetView showGridLines="0" zoomScale="85" zoomScaleNormal="85" workbookViewId="0">
      <selection activeCell="E62" sqref="E6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63</v>
      </c>
      <c r="D10" s="170"/>
      <c r="E10" s="169"/>
    </row>
    <row r="11" spans="2:5">
      <c r="B11" s="195"/>
      <c r="C11" s="170" t="s">
        <v>77</v>
      </c>
      <c r="D11" s="170"/>
      <c r="E11" s="169"/>
    </row>
    <row r="12" spans="2:5">
      <c r="B12" s="195"/>
      <c r="C12" s="170" t="s">
        <v>64</v>
      </c>
      <c r="D12" s="170"/>
      <c r="E12" s="169"/>
    </row>
    <row r="13" spans="2:5">
      <c r="B13" s="195"/>
      <c r="C13" s="170" t="s">
        <v>65</v>
      </c>
      <c r="D13" s="170"/>
      <c r="E13" s="169"/>
    </row>
    <row r="14" spans="2:5">
      <c r="B14" s="195"/>
      <c r="C14" s="170" t="s">
        <v>66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53</v>
      </c>
      <c r="D16" s="170"/>
      <c r="E16" s="169"/>
    </row>
    <row r="17" spans="2:5">
      <c r="B17" s="195"/>
      <c r="C17" s="170" t="s">
        <v>67</v>
      </c>
      <c r="D17" s="171"/>
      <c r="E17" s="169"/>
    </row>
    <row r="18" spans="2:5">
      <c r="B18" s="195"/>
      <c r="C18" s="170" t="s">
        <v>84</v>
      </c>
      <c r="D18" s="170"/>
      <c r="E18" s="169"/>
    </row>
    <row r="19" spans="2:5">
      <c r="B19" s="195"/>
      <c r="C19" s="170" t="s">
        <v>81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85</v>
      </c>
      <c r="D21" s="170"/>
      <c r="E21" s="169"/>
    </row>
    <row r="22" spans="2:5">
      <c r="B22" s="195"/>
      <c r="C22" s="170" t="s">
        <v>54</v>
      </c>
      <c r="D22" s="170"/>
      <c r="E22" s="169"/>
    </row>
    <row r="23" spans="2:5">
      <c r="B23" s="195"/>
      <c r="C23" s="170" t="s">
        <v>68</v>
      </c>
      <c r="D23" s="170"/>
      <c r="E23" s="169"/>
    </row>
    <row r="24" spans="2:5">
      <c r="B24" s="195"/>
      <c r="C24" s="170" t="s">
        <v>69</v>
      </c>
      <c r="D24" s="170"/>
      <c r="E24" s="169"/>
    </row>
    <row r="25" spans="2:5">
      <c r="B25" s="195"/>
      <c r="C25" s="170" t="s">
        <v>86</v>
      </c>
      <c r="D25" s="170"/>
      <c r="E25" s="169"/>
    </row>
    <row r="26" spans="2:5">
      <c r="B26" s="195"/>
      <c r="C26" s="170" t="s">
        <v>70</v>
      </c>
      <c r="D26" s="170"/>
      <c r="E26" s="169"/>
    </row>
    <row r="27" spans="2:5">
      <c r="B27" s="195"/>
      <c r="C27" s="170" t="s">
        <v>71</v>
      </c>
      <c r="D27" s="170"/>
      <c r="E27" s="169"/>
    </row>
    <row r="28" spans="2:5">
      <c r="B28" s="195"/>
      <c r="C28" s="170" t="s">
        <v>55</v>
      </c>
      <c r="D28" s="170"/>
      <c r="E28" s="169"/>
    </row>
    <row r="29" spans="2:5">
      <c r="B29" s="55"/>
      <c r="C29" s="170" t="s">
        <v>82</v>
      </c>
      <c r="D29" s="170"/>
      <c r="E29" s="169"/>
    </row>
    <row r="30" spans="2:5">
      <c r="B30" s="55"/>
      <c r="C30" s="170" t="s">
        <v>56</v>
      </c>
      <c r="D30" s="170"/>
      <c r="E30" s="169"/>
    </row>
    <row r="31" spans="2:5">
      <c r="B31" s="55"/>
      <c r="C31" s="170" t="s">
        <v>72</v>
      </c>
      <c r="D31" s="170"/>
      <c r="E31" s="169"/>
    </row>
    <row r="32" spans="2:5">
      <c r="B32" s="55"/>
      <c r="C32" s="170" t="s">
        <v>95</v>
      </c>
      <c r="D32" s="170"/>
      <c r="E32" s="169"/>
    </row>
    <row r="33" spans="2:5">
      <c r="B33" s="55"/>
      <c r="C33" s="170" t="s">
        <v>73</v>
      </c>
      <c r="D33" s="170"/>
      <c r="E33" s="169"/>
    </row>
    <row r="34" spans="2:5">
      <c r="B34" s="55"/>
      <c r="C34" s="170" t="s">
        <v>57</v>
      </c>
      <c r="D34" s="170"/>
      <c r="E34" s="169"/>
    </row>
    <row r="35" spans="2:5">
      <c r="B35" s="55"/>
      <c r="C35" s="170" t="s">
        <v>74</v>
      </c>
      <c r="D35" s="170"/>
      <c r="E35" s="169"/>
    </row>
    <row r="36" spans="2:5">
      <c r="B36" s="55"/>
      <c r="C36" s="170" t="s">
        <v>58</v>
      </c>
      <c r="D36" s="170"/>
      <c r="E36" s="169"/>
    </row>
    <row r="37" spans="2:5">
      <c r="B37" s="55"/>
      <c r="C37" s="171" t="s">
        <v>23</v>
      </c>
      <c r="D37" s="170"/>
      <c r="E37" s="169"/>
    </row>
    <row r="38" spans="2:5">
      <c r="B38" s="55"/>
      <c r="C38" s="170" t="s">
        <v>59</v>
      </c>
      <c r="D38" s="170"/>
      <c r="E38" s="169"/>
    </row>
    <row r="39" spans="2:5">
      <c r="B39" s="55"/>
      <c r="C39" s="170" t="s">
        <v>60</v>
      </c>
      <c r="D39" s="170"/>
      <c r="E39" s="169"/>
    </row>
    <row r="40" spans="2:5">
      <c r="B40" s="55"/>
      <c r="C40" s="170" t="s">
        <v>49</v>
      </c>
      <c r="D40" s="170"/>
      <c r="E40" s="169"/>
    </row>
    <row r="41" spans="2:5">
      <c r="B41" s="55"/>
      <c r="C41" s="170" t="s">
        <v>24</v>
      </c>
      <c r="D41" s="170"/>
      <c r="E41" s="169"/>
    </row>
    <row r="42" spans="2:5">
      <c r="B42" s="55"/>
      <c r="C42" s="170" t="s">
        <v>61</v>
      </c>
      <c r="D42" s="170"/>
      <c r="E42" s="169"/>
    </row>
    <row r="43" spans="2:5">
      <c r="B43" s="55"/>
      <c r="C43" s="170" t="s">
        <v>25</v>
      </c>
      <c r="D43" s="171"/>
      <c r="E43" s="169"/>
    </row>
    <row r="44" spans="2:5">
      <c r="B44" s="55"/>
      <c r="C44" s="170" t="s">
        <v>26</v>
      </c>
      <c r="D44" s="170"/>
      <c r="E44" s="169"/>
    </row>
    <row r="45" spans="2:5">
      <c r="B45" s="55"/>
      <c r="C45" s="170" t="s">
        <v>50</v>
      </c>
      <c r="D45" s="171"/>
      <c r="E45" s="169"/>
    </row>
    <row r="46" spans="2:5">
      <c r="B46" s="55"/>
      <c r="C46" s="171" t="s">
        <v>27</v>
      </c>
      <c r="D46" s="170"/>
      <c r="E46" s="169"/>
    </row>
    <row r="47" spans="2:5">
      <c r="B47" s="55"/>
      <c r="C47" s="170" t="s">
        <v>91</v>
      </c>
      <c r="D47" s="170"/>
      <c r="E47" s="169"/>
    </row>
    <row r="48" spans="2:5">
      <c r="B48" s="55"/>
      <c r="C48" s="170" t="s">
        <v>83</v>
      </c>
      <c r="D48" s="170"/>
      <c r="E48" s="169"/>
    </row>
    <row r="49" spans="2:5">
      <c r="B49" s="55"/>
      <c r="C49" s="170" t="s">
        <v>28</v>
      </c>
      <c r="D49" s="170"/>
      <c r="E49" s="169"/>
    </row>
    <row r="50" spans="2:5">
      <c r="B50" s="55"/>
      <c r="C50" s="171" t="s">
        <v>88</v>
      </c>
      <c r="D50" s="171"/>
      <c r="E50" s="169"/>
    </row>
    <row r="51" spans="2:5">
      <c r="B51" s="55"/>
      <c r="C51" s="170" t="s">
        <v>29</v>
      </c>
      <c r="D51" s="170"/>
      <c r="E51" s="169"/>
    </row>
    <row r="52" spans="2:5">
      <c r="B52" s="55"/>
      <c r="C52" s="170" t="s">
        <v>75</v>
      </c>
      <c r="D52" s="170"/>
      <c r="E52" s="169"/>
    </row>
    <row r="53" spans="2:5">
      <c r="B53" s="55"/>
      <c r="C53" s="170" t="s">
        <v>30</v>
      </c>
      <c r="D53" s="170"/>
      <c r="E53" s="169"/>
    </row>
    <row r="54" spans="2:5">
      <c r="B54" s="55"/>
      <c r="C54" s="170" t="s">
        <v>31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87</v>
      </c>
    </row>
    <row r="57" spans="2:5">
      <c r="B57" s="55"/>
      <c r="C57" s="171" t="s">
        <v>89</v>
      </c>
    </row>
    <row r="58" spans="2:5">
      <c r="B58" s="55"/>
      <c r="C58" s="170" t="s">
        <v>92</v>
      </c>
    </row>
    <row r="59" spans="2:5">
      <c r="B59" s="55"/>
      <c r="C59" s="170" t="s">
        <v>93</v>
      </c>
    </row>
    <row r="60" spans="2:5">
      <c r="B60" s="55"/>
      <c r="C60" s="170" t="s">
        <v>52</v>
      </c>
    </row>
    <row r="61" spans="2:5">
      <c r="B61" s="55"/>
      <c r="C61" s="170" t="s">
        <v>51</v>
      </c>
    </row>
    <row r="62" spans="2:5">
      <c r="B62" s="55"/>
      <c r="C62" s="170" t="s">
        <v>96</v>
      </c>
    </row>
    <row r="63" spans="2:5">
      <c r="B63" s="55"/>
      <c r="C63" s="171" t="s">
        <v>33</v>
      </c>
    </row>
    <row r="64" spans="2:5">
      <c r="B64" s="55"/>
      <c r="C64" s="170" t="s">
        <v>76</v>
      </c>
    </row>
    <row r="65" spans="2:3">
      <c r="B65" s="55"/>
      <c r="C65" s="170" t="s">
        <v>34</v>
      </c>
    </row>
    <row r="66" spans="2:3">
      <c r="B66" s="55"/>
      <c r="C66" s="170" t="s">
        <v>35</v>
      </c>
    </row>
    <row r="67" spans="2:3">
      <c r="B67" s="55"/>
      <c r="C67" s="170" t="s">
        <v>36</v>
      </c>
    </row>
    <row r="68" spans="2:3">
      <c r="B68" s="55"/>
      <c r="C68" s="171" t="s">
        <v>90</v>
      </c>
    </row>
    <row r="69" spans="2:3">
      <c r="B69" s="55"/>
      <c r="C69" s="170" t="s">
        <v>78</v>
      </c>
    </row>
    <row r="70" spans="2:3">
      <c r="B70" s="55"/>
      <c r="C70" s="170" t="s">
        <v>32</v>
      </c>
    </row>
    <row r="71" spans="2:3">
      <c r="B71" s="55"/>
      <c r="C71" s="290" t="s">
        <v>21</v>
      </c>
    </row>
    <row r="72" spans="2:3">
      <c r="B72" s="55"/>
      <c r="C72" s="170"/>
    </row>
    <row r="73" spans="2:3" hidden="1">
      <c r="B73" s="55"/>
      <c r="C73" s="170"/>
    </row>
    <row r="74" spans="2:3" ht="13.5" hidden="1" customHeight="1">
      <c r="B74" s="55"/>
      <c r="C74" s="170"/>
    </row>
    <row r="75" spans="2:3" ht="13.5" hidden="1" customHeight="1">
      <c r="B75" s="55"/>
      <c r="C75" s="170"/>
    </row>
    <row r="76" spans="2:3" ht="13.5" hidden="1" customHeight="1">
      <c r="B76" s="55"/>
      <c r="C76" s="170"/>
    </row>
    <row r="77" spans="2:3" ht="13.5" hidden="1" customHeight="1">
      <c r="B77" s="55"/>
    </row>
    <row r="78" spans="2:3" ht="13.5" hidden="1" customHeight="1">
      <c r="B78" s="55"/>
      <c r="C78" s="170"/>
    </row>
    <row r="79" spans="2:3" hidden="1">
      <c r="B79" s="55"/>
      <c r="C79" s="170"/>
    </row>
    <row r="80" spans="2:3" hidden="1">
      <c r="B80" s="55"/>
      <c r="C80" s="322"/>
    </row>
    <row r="81" spans="2:3" hidden="1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289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94</v>
      </c>
    </row>
    <row r="89" spans="2:3">
      <c r="B89" s="55"/>
      <c r="C89" s="170" t="s">
        <v>37</v>
      </c>
    </row>
    <row r="90" spans="2:3">
      <c r="B90" s="55"/>
      <c r="C90" s="170" t="s">
        <v>38</v>
      </c>
    </row>
    <row r="91" spans="2:3">
      <c r="B91" s="55"/>
      <c r="C91" s="170" t="s">
        <v>80</v>
      </c>
    </row>
    <row r="92" spans="2:3">
      <c r="B92" s="55"/>
      <c r="C92" s="171" t="s">
        <v>23</v>
      </c>
    </row>
    <row r="93" spans="2:3">
      <c r="B93" s="55"/>
      <c r="C93" s="170" t="s">
        <v>39</v>
      </c>
    </row>
    <row r="94" spans="2:3">
      <c r="B94" s="55"/>
      <c r="C94" s="170" t="s">
        <v>41</v>
      </c>
    </row>
    <row r="95" spans="2:3">
      <c r="B95" s="55"/>
      <c r="C95" s="170" t="s">
        <v>42</v>
      </c>
    </row>
    <row r="96" spans="2:3">
      <c r="B96" s="55"/>
      <c r="C96" s="170" t="s">
        <v>62</v>
      </c>
    </row>
    <row r="97" spans="2:3">
      <c r="B97" s="55"/>
      <c r="C97" s="171" t="s">
        <v>27</v>
      </c>
    </row>
    <row r="98" spans="2:3">
      <c r="B98" s="55"/>
      <c r="C98" s="170" t="s">
        <v>43</v>
      </c>
    </row>
    <row r="99" spans="2:3">
      <c r="B99" s="55"/>
      <c r="C99" s="171" t="s">
        <v>89</v>
      </c>
    </row>
    <row r="100" spans="2:3">
      <c r="B100" s="55"/>
      <c r="C100" s="170" t="s">
        <v>79</v>
      </c>
    </row>
    <row r="101" spans="2:3">
      <c r="B101" s="55"/>
      <c r="C101" s="171" t="s">
        <v>33</v>
      </c>
    </row>
    <row r="102" spans="2:3">
      <c r="B102" s="55"/>
      <c r="C102" s="170" t="s">
        <v>40</v>
      </c>
    </row>
    <row r="103" spans="2:3">
      <c r="B103" s="55"/>
      <c r="C103" s="170" t="s">
        <v>45</v>
      </c>
    </row>
    <row r="104" spans="2:3">
      <c r="B104" s="55"/>
      <c r="C104" s="170" t="s">
        <v>46</v>
      </c>
    </row>
    <row r="105" spans="2:3">
      <c r="B105" s="55"/>
      <c r="C105" s="170" t="s">
        <v>47</v>
      </c>
    </row>
    <row r="106" spans="2:3">
      <c r="B106" s="55"/>
      <c r="C106" s="170" t="s">
        <v>48</v>
      </c>
    </row>
    <row r="107" spans="2:3">
      <c r="B107" s="55"/>
      <c r="C107" s="170" t="s">
        <v>98</v>
      </c>
    </row>
    <row r="108" spans="2:3">
      <c r="B108" s="55"/>
      <c r="C108" s="170" t="s">
        <v>97</v>
      </c>
    </row>
    <row r="109" spans="2:3">
      <c r="B109" s="55"/>
      <c r="C109" s="171" t="s">
        <v>90</v>
      </c>
    </row>
    <row r="110" spans="2:3">
      <c r="B110" s="55"/>
      <c r="C110" s="170" t="s">
        <v>44</v>
      </c>
    </row>
    <row r="111" spans="2:3">
      <c r="C111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E9" sqref="E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(january-march)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(january-march)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(march)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(january-march)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(january-march)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(january-march)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(january-march)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(january-march)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(january-march)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(january-march)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(january-march)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(march)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march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march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march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march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33" zoomScale="120" zoomScaleNormal="120" zoomScalePageLayoutView="125" workbookViewId="0">
      <selection activeCell="C48" sqref="C48:G50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(janeiro-março)","TABLE I - Consolidated budget execution (january-march)")</f>
        <v>TABLE I - Consolidated budget execution (january-march)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2025","Consolidated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316631.57624000002</v>
      </c>
      <c r="E5" s="57">
        <v>127593.97903999995</v>
      </c>
      <c r="F5" s="57">
        <v>101095.33107999997</v>
      </c>
      <c r="G5" s="57">
        <v>352519.91127999994</v>
      </c>
      <c r="H5" s="57">
        <v>-0.67014652870637237</v>
      </c>
    </row>
    <row r="6" spans="1:10" ht="11.25" customHeight="1">
      <c r="C6" s="68" t="str">
        <f>+IF(Índice!$D$2=1,"Impostos diretos","Direct taxes")</f>
        <v>Direct taxes</v>
      </c>
      <c r="D6" s="56">
        <v>58341.29636</v>
      </c>
      <c r="E6" s="56">
        <v>0</v>
      </c>
      <c r="F6" s="56">
        <v>0</v>
      </c>
      <c r="G6" s="56">
        <v>58341.29636</v>
      </c>
      <c r="H6" s="56">
        <v>-22.315226252849417</v>
      </c>
    </row>
    <row r="7" spans="1:10">
      <c r="C7" s="68" t="str">
        <f>+IF(Índice!$D$2=1,"Impostos indiretos","Indirect taxes")</f>
        <v>Indirect taxes</v>
      </c>
      <c r="D7" s="56">
        <v>182379.78968000002</v>
      </c>
      <c r="E7" s="56">
        <v>0</v>
      </c>
      <c r="F7" s="56">
        <v>0</v>
      </c>
      <c r="G7" s="56">
        <v>182379.78968000002</v>
      </c>
      <c r="H7" s="56">
        <v>6.6775369240719362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75910.4902</v>
      </c>
      <c r="E9" s="56">
        <v>127593.97903999995</v>
      </c>
      <c r="F9" s="56">
        <v>101095.33107999997</v>
      </c>
      <c r="G9" s="56">
        <v>106820.04878999997</v>
      </c>
      <c r="H9" s="56">
        <v>29.936459303791342</v>
      </c>
    </row>
    <row r="10" spans="1:10">
      <c r="C10" s="69" t="str">
        <f>+IF(Índice!$D$2=1,"Transferências correntes","Current transfers")</f>
        <v>Current transfers</v>
      </c>
      <c r="D10" s="56">
        <v>62821.141929999998</v>
      </c>
      <c r="E10" s="56">
        <v>123546.14457999996</v>
      </c>
      <c r="F10" s="56">
        <v>89027.060399999973</v>
      </c>
      <c r="G10" s="56">
        <v>77614.595379999955</v>
      </c>
      <c r="H10" s="56">
        <v>38.477706555576432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62456.599000000002</v>
      </c>
      <c r="E11" s="56">
        <v>561.44487000000004</v>
      </c>
      <c r="F11" s="56">
        <v>0</v>
      </c>
      <c r="G11" s="56">
        <v>63018.043870000001</v>
      </c>
      <c r="H11" s="56">
        <v>28.07717795460405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109368.55480999996</v>
      </c>
      <c r="F12" s="56">
        <v>88411.196719999978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4978.7764499999612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35452.916669999999</v>
      </c>
      <c r="E14" s="57">
        <v>1259.67734</v>
      </c>
      <c r="F14" s="57">
        <v>18024.510349999993</v>
      </c>
      <c r="G14" s="57">
        <v>51351.937179999986</v>
      </c>
      <c r="H14" s="57">
        <v>34.61994768538483</v>
      </c>
    </row>
    <row r="15" spans="1:10">
      <c r="C15" s="68" t="str">
        <f>+IF(Índice!$D$2=1,"Venda de bens de investimento","Sale of investment goods")</f>
        <v>Sale of investment goods</v>
      </c>
      <c r="D15" s="56">
        <v>19.8948</v>
      </c>
      <c r="E15" s="56">
        <v>0</v>
      </c>
      <c r="F15" s="56">
        <v>1174.634</v>
      </c>
      <c r="G15" s="56">
        <v>1194.5288</v>
      </c>
      <c r="H15" s="56">
        <v>30.829843161307281</v>
      </c>
    </row>
    <row r="16" spans="1:10" ht="11.25" customHeight="1">
      <c r="C16" s="68" t="str">
        <f>+IF(Índice!$D$2=1,"Transferências capital","Capital transfers")</f>
        <v>Capital transfers</v>
      </c>
      <c r="D16" s="56">
        <v>33933.603470000002</v>
      </c>
      <c r="E16" s="56">
        <v>1217.37645</v>
      </c>
      <c r="F16" s="56">
        <v>16834.085249999996</v>
      </c>
      <c r="G16" s="56">
        <v>43893.84332</v>
      </c>
      <c r="H16" s="56">
        <v>27.981968668209369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27271.15022</v>
      </c>
      <c r="E17" s="56">
        <v>0</v>
      </c>
      <c r="F17" s="56">
        <v>0</v>
      </c>
      <c r="G17" s="56">
        <v>27271.15022</v>
      </c>
      <c r="H17" s="56">
        <v>0.82528026452597381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471.18955000000005</v>
      </c>
      <c r="F18" s="56">
        <v>7620.0323000000008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4706.0546700000004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352084.49291000003</v>
      </c>
      <c r="E20" s="57">
        <v>128853.65637999994</v>
      </c>
      <c r="F20" s="57">
        <v>119119.84142999997</v>
      </c>
      <c r="G20" s="57">
        <v>403871.84845999995</v>
      </c>
      <c r="H20" s="57">
        <v>2.7548405656824926</v>
      </c>
    </row>
    <row r="21" spans="3:8" ht="20.25" customHeight="1">
      <c r="C21" s="220" t="str">
        <f>+IF(Índice!$D$2=1,"Despesa corrente","Current expenditure")</f>
        <v>Current expenditure</v>
      </c>
      <c r="D21" s="220">
        <v>307223.14763000002</v>
      </c>
      <c r="E21" s="220">
        <v>122550.90782999995</v>
      </c>
      <c r="F21" s="220">
        <v>102902.52590000005</v>
      </c>
      <c r="G21" s="220">
        <v>339869.14322000003</v>
      </c>
      <c r="H21" s="220">
        <v>16.86876652445477</v>
      </c>
    </row>
    <row r="22" spans="3:8" ht="10.5" customHeight="1">
      <c r="C22" s="68" t="str">
        <f>+IF(Índice!$D$2=1,"Consumo público","Public consumption")</f>
        <v>Public consumption</v>
      </c>
      <c r="D22" s="56">
        <v>150331.84774000011</v>
      </c>
      <c r="E22" s="56">
        <v>30632.628429999975</v>
      </c>
      <c r="F22" s="56">
        <v>99124.799900000042</v>
      </c>
      <c r="G22" s="56">
        <v>280089.27607000014</v>
      </c>
      <c r="H22" s="56">
        <v>17.169099683237278</v>
      </c>
    </row>
    <row r="23" spans="3:8">
      <c r="C23" s="69" t="str">
        <f>+IF(Índice!$D$2=1,"Despesas com o pessoal","Compensation of employees")</f>
        <v>Compensation of employees</v>
      </c>
      <c r="D23" s="56">
        <v>105557.30668000017</v>
      </c>
      <c r="E23" s="56">
        <v>14541.992729999998</v>
      </c>
      <c r="F23" s="56">
        <v>67529.93505</v>
      </c>
      <c r="G23" s="56">
        <v>187629.23446000018</v>
      </c>
      <c r="H23" s="56">
        <v>15.517878643485815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44774.541059999952</v>
      </c>
      <c r="E24" s="56">
        <v>16090.635699999977</v>
      </c>
      <c r="F24" s="56">
        <v>31594.864850000042</v>
      </c>
      <c r="G24" s="56">
        <v>92460.041609999971</v>
      </c>
      <c r="H24" s="56">
        <v>20.669352495263205</v>
      </c>
    </row>
    <row r="25" spans="3:8">
      <c r="C25" s="68" t="str">
        <f>+IF(Índice!$D$2=1,"Subsídios","Subsidies")</f>
        <v>Subsidies</v>
      </c>
      <c r="D25" s="56">
        <v>1103.2491500000001</v>
      </c>
      <c r="E25" s="56">
        <v>5859.6261099999992</v>
      </c>
      <c r="F25" s="56">
        <v>0</v>
      </c>
      <c r="G25" s="56">
        <v>6956.4121999999988</v>
      </c>
      <c r="H25" s="56">
        <v>27.822359145658382</v>
      </c>
    </row>
    <row r="26" spans="3:8">
      <c r="C26" s="68" t="str">
        <f>+IF(Índice!$D$2=1,"Juros e outros encargos","Interests and other charges")</f>
        <v>Interests and other charges</v>
      </c>
      <c r="D26" s="56">
        <v>22587.187590000005</v>
      </c>
      <c r="E26" s="56">
        <v>0.31766999999999995</v>
      </c>
      <c r="F26" s="56">
        <v>174.29493000000002</v>
      </c>
      <c r="G26" s="56">
        <v>22761.800190000005</v>
      </c>
      <c r="H26" s="56">
        <v>-4.3236267786231135</v>
      </c>
    </row>
    <row r="27" spans="3:8">
      <c r="C27" s="68" t="str">
        <f>+IF(Índice!$D$2=1,"Transferências correntes","Current transfers")</f>
        <v>Current transfers</v>
      </c>
      <c r="D27" s="56">
        <v>133200.8631499999</v>
      </c>
      <c r="E27" s="56">
        <v>86058.335619999983</v>
      </c>
      <c r="F27" s="56">
        <v>3603.4310700000005</v>
      </c>
      <c r="G27" s="56">
        <v>30061.654759999888</v>
      </c>
      <c r="H27" s="56">
        <v>33.412099122276409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605.38869</v>
      </c>
      <c r="F28" s="56">
        <v>0</v>
      </c>
      <c r="G28" s="56">
        <v>605.38869</v>
      </c>
      <c r="H28" s="56">
        <v>-11.79874136463097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116607.05221999998</v>
      </c>
      <c r="E29" s="56">
        <v>76193.922860000006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19722.58538</v>
      </c>
      <c r="E31" s="57">
        <v>671.48135000000002</v>
      </c>
      <c r="F31" s="57">
        <v>13156.079059999998</v>
      </c>
      <c r="G31" s="57">
        <v>30164.978609999995</v>
      </c>
      <c r="H31" s="57">
        <v>81.786428084312291</v>
      </c>
    </row>
    <row r="32" spans="3:8">
      <c r="C32" s="68" t="str">
        <f>+IF(Índice!$D$2=1,"Investimento","Investment")</f>
        <v>Investment</v>
      </c>
      <c r="D32" s="56">
        <v>12426.25351</v>
      </c>
      <c r="E32" s="56">
        <v>136.10885000000002</v>
      </c>
      <c r="F32" s="56">
        <v>12793.806379999998</v>
      </c>
      <c r="G32" s="56">
        <v>25356.168740000001</v>
      </c>
      <c r="H32" s="56">
        <v>115.49258520623238</v>
      </c>
    </row>
    <row r="33" spans="3:8">
      <c r="C33" s="68" t="str">
        <f>+IF(Índice!$D$2=1,"Transferências capital","Capital transfers")</f>
        <v>Capital transfers</v>
      </c>
      <c r="D33" s="56">
        <v>7296.33187</v>
      </c>
      <c r="E33" s="56">
        <v>535.37249999999995</v>
      </c>
      <c r="F33" s="56">
        <v>362.27267999999998</v>
      </c>
      <c r="G33" s="56">
        <v>4808.8098699999991</v>
      </c>
      <c r="H33" s="56">
        <v>-0.37741485635828242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940.46577000000002</v>
      </c>
      <c r="E34" s="56">
        <v>0</v>
      </c>
      <c r="F34" s="56">
        <v>0</v>
      </c>
      <c r="G34" s="56">
        <v>940.46577000000002</v>
      </c>
      <c r="H34" s="56">
        <v>-71.53304026018435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3385.1671800000004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326945.73301000003</v>
      </c>
      <c r="E38" s="86">
        <v>123222.38917999995</v>
      </c>
      <c r="F38" s="86">
        <v>116058.60496000006</v>
      </c>
      <c r="G38" s="86">
        <v>370034.12183000002</v>
      </c>
      <c r="H38" s="86">
        <v>20.372989277431607</v>
      </c>
    </row>
    <row r="39" spans="3:8" ht="17.25" customHeight="1">
      <c r="C39" s="138" t="str">
        <f>+IF(Índice!$D$2=1,"Saldo global","Overall balance")</f>
        <v>Overall balance</v>
      </c>
      <c r="D39" s="139">
        <v>25138.759900000005</v>
      </c>
      <c r="E39" s="139">
        <v>5631.2671999999875</v>
      </c>
      <c r="F39" s="139">
        <v>3061.2364699999162</v>
      </c>
      <c r="G39" s="139">
        <v>33837.726629999932</v>
      </c>
      <c r="H39" s="139">
        <v>-60.48741017810535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9408.4286100000027</v>
      </c>
      <c r="E41" s="19">
        <v>5043.0712099999946</v>
      </c>
      <c r="F41" s="19">
        <v>-1807.194820000077</v>
      </c>
      <c r="G41" s="19">
        <v>12650.768059999915</v>
      </c>
      <c r="H41" s="19">
        <v>-80.259581211051284</v>
      </c>
    </row>
    <row r="42" spans="3:8">
      <c r="C42" s="68" t="str">
        <f>+IF(Índice!$D$2=1,"Despesa corrente primária","Primary current expenditure")</f>
        <v>Primary current expenditure</v>
      </c>
      <c r="D42" s="19">
        <v>284635.96004000003</v>
      </c>
      <c r="E42" s="19">
        <v>122550.59015999995</v>
      </c>
      <c r="F42" s="19">
        <v>102728.23097000005</v>
      </c>
      <c r="G42" s="19">
        <v>317107.34303000005</v>
      </c>
      <c r="H42" s="19">
        <v>18.756907815794488</v>
      </c>
    </row>
    <row r="43" spans="3:8">
      <c r="C43" s="68" t="str">
        <f>+IF(Índice!$D$2=1,"Saldo corrente primário","Primary current balance")</f>
        <v>Primary current balance</v>
      </c>
      <c r="D43" s="19">
        <v>31995.616199999989</v>
      </c>
      <c r="E43" s="19">
        <v>5043.3888799999986</v>
      </c>
      <c r="F43" s="19">
        <v>-1632.8998900000734</v>
      </c>
      <c r="G43" s="19">
        <v>35412.568249999895</v>
      </c>
      <c r="H43" s="19">
        <v>-59.701670319161018</v>
      </c>
    </row>
    <row r="44" spans="3:8">
      <c r="C44" s="68" t="str">
        <f>+IF(Índice!$D$2=1,"Saldo de capital","Capital balance")</f>
        <v>Capital balance</v>
      </c>
      <c r="D44" s="19">
        <v>15730.331289999998</v>
      </c>
      <c r="E44" s="19">
        <v>588.19598999999994</v>
      </c>
      <c r="F44" s="19">
        <v>4868.431289999995</v>
      </c>
      <c r="G44" s="19">
        <v>21186.958569999992</v>
      </c>
      <c r="H44" s="19">
        <v>-1.6947925605409697</v>
      </c>
    </row>
    <row r="45" spans="3:8">
      <c r="C45" s="68" t="str">
        <f t="array" ref="C45">+IF(Índice!$D$2=1,"Despesa primária","Primary expenditure")</f>
        <v>Primary expenditure</v>
      </c>
      <c r="D45" s="19">
        <v>304358.54542000004</v>
      </c>
      <c r="E45" s="19">
        <v>123222.07150999995</v>
      </c>
      <c r="F45" s="19">
        <v>115884.31003000005</v>
      </c>
      <c r="G45" s="19">
        <v>347272.32164000004</v>
      </c>
      <c r="H45" s="19">
        <v>22.444603243881978</v>
      </c>
    </row>
    <row r="46" spans="3:8">
      <c r="C46" s="221" t="str">
        <f>+IF(Índice!$D$2=1,"Saldo primário","Primary balance")</f>
        <v>Primary balance</v>
      </c>
      <c r="D46" s="132">
        <v>47725.947489999991</v>
      </c>
      <c r="E46" s="132">
        <v>5631.5848699999915</v>
      </c>
      <c r="F46" s="132">
        <v>3235.5313999999198</v>
      </c>
      <c r="G46" s="132">
        <v>56599.526819999912</v>
      </c>
      <c r="H46" s="132">
        <v>-48.277040076631138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(janeiro-março)","TABLE II - Regional Gov. budget execution (january-march)")</f>
        <v>TABLE II - Regional Gov. budget execution (january-march)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2024</v>
      </c>
      <c r="E3" s="156">
        <v>2025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305730.35895000002</v>
      </c>
      <c r="E5" s="225">
        <v>316631.57624000002</v>
      </c>
      <c r="F5" s="225">
        <v>3.5656312730731443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246063.67041000002</v>
      </c>
      <c r="E6" s="231">
        <v>240721.08604000002</v>
      </c>
      <c r="F6" s="231">
        <v>-2.1712203028988353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75100.040260000009</v>
      </c>
      <c r="E7" s="231">
        <v>58341.29636</v>
      </c>
      <c r="F7" s="231">
        <v>-22.315226252849417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170963.63015000001</v>
      </c>
      <c r="E8" s="231">
        <v>182379.78968000002</v>
      </c>
      <c r="F8" s="231">
        <v>6.677536924071914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59666.688540000003</v>
      </c>
      <c r="E9" s="231">
        <v>75910.490199999986</v>
      </c>
      <c r="F9" s="231">
        <v>27.224238611985797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31634.853030000002</v>
      </c>
      <c r="E10" s="232">
        <v>35452.916669999999</v>
      </c>
      <c r="F10" s="232">
        <v>12.069168256856599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337365.21198000002</v>
      </c>
      <c r="E12" s="232">
        <v>352084.49291000003</v>
      </c>
      <c r="F12" s="232">
        <v>4.363010887700125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273080.23512000026</v>
      </c>
      <c r="E14" s="232">
        <v>307223.1476299999</v>
      </c>
      <c r="F14" s="232">
        <v>12.502886741325735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95367.081020000187</v>
      </c>
      <c r="E15" s="231">
        <v>105557.30667999998</v>
      </c>
      <c r="F15" s="231">
        <v>10.685265346291484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40916.260260000032</v>
      </c>
      <c r="E16" s="231">
        <v>44531.961289999956</v>
      </c>
      <c r="F16" s="231">
        <v>8.8368316337420936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23504.83887</v>
      </c>
      <c r="E17" s="231">
        <v>22587.187590000005</v>
      </c>
      <c r="F17" s="231">
        <v>-3.9040951740844432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108914.46296000003</v>
      </c>
      <c r="E18" s="231">
        <v>133200.86314999999</v>
      </c>
      <c r="F18" s="231">
        <v>22.298599772666904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95928.701220000032</v>
      </c>
      <c r="E19" s="231">
        <v>116607.05221999998</v>
      </c>
      <c r="F19" s="231">
        <v>21.555958474384873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12985.761739999998</v>
      </c>
      <c r="E20" s="231">
        <v>16593.810929999992</v>
      </c>
      <c r="F20" s="231">
        <v>27.784655703994112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4190.5727999999999</v>
      </c>
      <c r="E21" s="231">
        <v>1103.2491500000001</v>
      </c>
      <c r="F21" s="231">
        <v>-73.673070421303734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187.01921000000002</v>
      </c>
      <c r="E22" s="231">
        <v>242.57977000000002</v>
      </c>
      <c r="F22" s="231">
        <v>29.708477540890055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15336.501590000005</v>
      </c>
      <c r="E23" s="232">
        <v>19722.58538</v>
      </c>
      <c r="F23" s="232">
        <v>28.598985004897681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8126.6126200000053</v>
      </c>
      <c r="E24" s="231">
        <v>12426.25351</v>
      </c>
      <c r="F24" s="231">
        <v>52.90815609222421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7209.88897</v>
      </c>
      <c r="E25" s="231">
        <v>7296.33187</v>
      </c>
      <c r="F25" s="231">
        <v>1.1989491150236065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6620.3523400000004</v>
      </c>
      <c r="E26" s="231">
        <v>4325.6329500000002</v>
      </c>
      <c r="F26" s="231">
        <v>-34.66159008086872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589.53663000000006</v>
      </c>
      <c r="E27" s="231">
        <v>2970.6989199999998</v>
      </c>
      <c r="F27" s="231">
        <v>403.90404409646254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288416.73671000026</v>
      </c>
      <c r="E29" s="235">
        <v>326945.73300999991</v>
      </c>
      <c r="F29" s="235">
        <v>13.358793508138223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48948.475269999763</v>
      </c>
      <c r="E31" s="139">
        <v>25138.759900000117</v>
      </c>
      <c r="F31" s="139">
        <v>-48.642404566567741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32650.123829999764</v>
      </c>
      <c r="E33" s="19">
        <v>9408.4286100001191</v>
      </c>
      <c r="F33" s="19">
        <v>-71.184095169172323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16298.351439999997</v>
      </c>
      <c r="E34" s="19">
        <v>15730.331289999998</v>
      </c>
      <c r="F34" s="19">
        <v>-3.4851386785410887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72453.314139999769</v>
      </c>
      <c r="E35" s="19">
        <v>47725.947490000122</v>
      </c>
      <c r="F35" s="19">
        <v>-34.128689547892264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320.47449</v>
      </c>
      <c r="E36" s="106">
        <v>608.14400000000001</v>
      </c>
      <c r="F36" s="106">
        <v>89.763622059278418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5"/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C48" sqref="C48:G50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(março)","TABLE III - Regional Gov. budget execution (march)")</f>
        <v>TABLE III - Regional Gov. budget execution (march)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2024</v>
      </c>
      <c r="E3" s="293">
        <v>2025</v>
      </c>
      <c r="F3" s="293" t="s">
        <v>99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205821.21129000001</v>
      </c>
      <c r="E5" s="225">
        <v>212989.43716</v>
      </c>
      <c r="F5" s="225">
        <v>3.4827439917745062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196632.38512999998</v>
      </c>
      <c r="E6" s="231">
        <v>188592.42838</v>
      </c>
      <c r="F6" s="231">
        <v>-4.0888263368643489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75100.040260000009</v>
      </c>
      <c r="E7" s="231">
        <v>58341.29636</v>
      </c>
      <c r="F7" s="231">
        <v>-22.315226252849417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121532.34486999997</v>
      </c>
      <c r="E8" s="231">
        <v>130251.13202</v>
      </c>
      <c r="F8" s="231">
        <v>7.1740466781302414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9188.8261600000042</v>
      </c>
      <c r="E9" s="231">
        <v>24397.00878</v>
      </c>
      <c r="F9" s="231">
        <v>165.5073494175233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1206.4268399999992</v>
      </c>
      <c r="E10" s="232">
        <v>12786.216060000002</v>
      </c>
      <c r="F10" s="232">
        <v>959.84181021702159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207027.63813000001</v>
      </c>
      <c r="E12" s="232">
        <v>225775.65322000001</v>
      </c>
      <c r="F12" s="232">
        <v>9.0558030122661393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216409.84742000033</v>
      </c>
      <c r="E14" s="232">
        <v>223258.92936000004</v>
      </c>
      <c r="F14" s="232">
        <v>3.1648661193810046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67854.340350000261</v>
      </c>
      <c r="E15" s="231">
        <v>77838.2494300002</v>
      </c>
      <c r="F15" s="231">
        <v>14.713736849406867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38617.767710000036</v>
      </c>
      <c r="E16" s="231">
        <v>42304.253289999957</v>
      </c>
      <c r="F16" s="231">
        <v>9.5460866813523957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4645.4988200000043</v>
      </c>
      <c r="E17" s="231">
        <v>4024.4979800000078</v>
      </c>
      <c r="F17" s="231">
        <v>-13.367796743945703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100949.13299000004</v>
      </c>
      <c r="E18" s="231">
        <v>97770.749029999846</v>
      </c>
      <c r="F18" s="231">
        <v>-3.1485005030355673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4190.5727999999999</v>
      </c>
      <c r="E19" s="231">
        <v>1103.2491500000001</v>
      </c>
      <c r="F19" s="231">
        <v>-73.673070421303734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152.53475000000003</v>
      </c>
      <c r="E20" s="231">
        <v>217.93048000000002</v>
      </c>
      <c r="F20" s="231">
        <v>42.872676554031109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14695.298770000009</v>
      </c>
      <c r="E21" s="232">
        <v>16833.9679</v>
      </c>
      <c r="F21" s="232">
        <v>14.553423945119226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8065.3647000000055</v>
      </c>
      <c r="E22" s="231">
        <v>12303.571749999999</v>
      </c>
      <c r="F22" s="231">
        <v>52.548238147246963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6629.9340700000021</v>
      </c>
      <c r="E23" s="231">
        <v>4530.3961500000005</v>
      </c>
      <c r="F23" s="231">
        <v>-31.667553520634041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231105.14619000035</v>
      </c>
      <c r="E25" s="300">
        <v>240092.89726000003</v>
      </c>
      <c r="F25" s="300">
        <v>3.8890311263819699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-24077.508060000342</v>
      </c>
      <c r="E27" s="287">
        <v>-14317.24404000002</v>
      </c>
      <c r="F27" s="287">
        <v>40.536852882275319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-10588.636130000319</v>
      </c>
      <c r="E29" s="19">
        <v>-10269.492200000037</v>
      </c>
      <c r="F29" s="19">
        <v>3.0140230156371683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-13488.871930000008</v>
      </c>
      <c r="E30" s="19">
        <v>-4047.7518399999972</v>
      </c>
      <c r="F30" s="19">
        <v>69.991917330035804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-19432.009240000338</v>
      </c>
      <c r="E31" s="19">
        <v>-10292.746060000012</v>
      </c>
      <c r="F31" s="19">
        <v>47.032003058064454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G8" sqref="G8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(janeiro-março)","TABLE IV - Regional Gov. tax revenue budget execution (january-march)")</f>
        <v>TABLE IV - Regional Gov. tax revenue budget execution (january-march)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2024</v>
      </c>
      <c r="E3" s="156">
        <v>2025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246063.67041000002</v>
      </c>
      <c r="E5" s="33">
        <v>240721.08604000002</v>
      </c>
      <c r="F5" s="270">
        <v>0.19294805751994507</v>
      </c>
      <c r="G5" s="270">
        <v>-2.1712203028988353E-2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75100.040260000009</v>
      </c>
      <c r="E7" s="70">
        <v>58341.29636</v>
      </c>
      <c r="F7" s="271">
        <v>0.12703915022913892</v>
      </c>
      <c r="G7" s="271">
        <v>-0.22315226252849418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49335.657220000008</v>
      </c>
      <c r="E8" s="70">
        <v>52666.920389999999</v>
      </c>
      <c r="F8" s="271">
        <v>0.22123217265133219</v>
      </c>
      <c r="G8" s="271">
        <v>6.7522424098761968E-2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25764.383040000004</v>
      </c>
      <c r="E9" s="70">
        <v>5674.3759700000001</v>
      </c>
      <c r="F9" s="271">
        <v>2.5655366847279665E-2</v>
      </c>
      <c r="G9" s="271">
        <v>-0.77975890355339172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170963.63015000001</v>
      </c>
      <c r="E11" s="70">
        <v>182379.78968000002</v>
      </c>
      <c r="F11" s="271">
        <v>0.23134175322221331</v>
      </c>
      <c r="G11" s="271">
        <v>6.677536924071914E-2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6403.9728399999995</v>
      </c>
      <c r="E12" s="70">
        <v>7162.0215900000003</v>
      </c>
      <c r="F12" s="271">
        <v>0.14920878312499999</v>
      </c>
      <c r="G12" s="271">
        <v>0.11837163725385214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143688.55958</v>
      </c>
      <c r="E13" s="70">
        <v>150227.23803000001</v>
      </c>
      <c r="F13" s="271">
        <v>0.24953527296261421</v>
      </c>
      <c r="G13" s="271">
        <v>4.5505908536577211E-2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799.34935999999993</v>
      </c>
      <c r="E14" s="70">
        <v>1322.4247800000001</v>
      </c>
      <c r="F14" s="271">
        <v>0.17555088012743927</v>
      </c>
      <c r="G14" s="271">
        <v>0.65437647939068855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5820.0546699999995</v>
      </c>
      <c r="E15" s="70">
        <v>7845.9528499999997</v>
      </c>
      <c r="F15" s="271">
        <v>0.15531971436916922</v>
      </c>
      <c r="G15" s="271">
        <v>0.3480892010246357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2114.7222400000001</v>
      </c>
      <c r="E16" s="70">
        <v>2150.88429</v>
      </c>
      <c r="F16" s="271">
        <v>0.1676954482153391</v>
      </c>
      <c r="G16" s="271">
        <v>1.7100141718848105E-2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12136.971460000001</v>
      </c>
      <c r="E17" s="70">
        <v>13671.26814</v>
      </c>
      <c r="F17" s="271">
        <v>0.20267389897796012</v>
      </c>
      <c r="G17" s="271">
        <v>0.12641511805944372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6943.7952299999997</v>
      </c>
      <c r="E18" s="70">
        <v>7800.8374799999992</v>
      </c>
      <c r="F18" s="271">
        <v>0.20819759631254384</v>
      </c>
      <c r="G18" s="271">
        <v>0.12342562267637591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770.54159000000004</v>
      </c>
      <c r="E19" s="70">
        <v>1499.3128600000002</v>
      </c>
      <c r="F19" s="271">
        <v>0.18461715756292177</v>
      </c>
      <c r="G19" s="271">
        <v>0.94579095983644468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91301.541570000001</v>
      </c>
      <c r="E21" s="33">
        <v>111363.40686999998</v>
      </c>
      <c r="F21" s="270">
        <v>0.17146810592020881</v>
      </c>
      <c r="G21" s="270">
        <v>0.21973194488308545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337365.21198000002</v>
      </c>
      <c r="E23" s="139">
        <v>352084.49291000003</v>
      </c>
      <c r="F23" s="274">
        <v>0.18559428554748675</v>
      </c>
      <c r="G23" s="274">
        <v>4.363010887700125E-2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G7" sqref="G7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(janeiro-março)","TABLE V - Regional Gov. non-tax revenue budget execution (january-march)")</f>
        <v>TABLE V - Regional Gov. non-tax revenue budget execution (january-march)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2024</v>
      </c>
      <c r="E3" s="156">
        <v>2025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246063.67041000002</v>
      </c>
      <c r="E5" s="41">
        <v>240721.08604000002</v>
      </c>
      <c r="F5" s="276">
        <v>0.19294805751994507</v>
      </c>
      <c r="G5" s="42">
        <v>-2.1712203028988353E-2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91301.541570000001</v>
      </c>
      <c r="E7" s="41">
        <v>111363.40686999998</v>
      </c>
      <c r="F7" s="276">
        <v>0.17146810592020881</v>
      </c>
      <c r="G7" s="42">
        <v>0.21973194488308545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59666.688540000003</v>
      </c>
      <c r="E8" s="41">
        <v>75910.490199999986</v>
      </c>
      <c r="F8" s="276">
        <v>0.20753644528054124</v>
      </c>
      <c r="G8" s="42">
        <v>0.27224238611985796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4666.8881000000001</v>
      </c>
      <c r="E10" s="71">
        <v>9190.5901200000026</v>
      </c>
      <c r="F10" s="278">
        <v>0.20727477647335621</v>
      </c>
      <c r="G10" s="43">
        <v>0.96931872439795641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210.08312999999998</v>
      </c>
      <c r="E11" s="71">
        <v>312.80684000000002</v>
      </c>
      <c r="F11" s="278">
        <v>4.2165018519581911E-2</v>
      </c>
      <c r="G11" s="43">
        <v>0.48896696274470042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49427.383309999997</v>
      </c>
      <c r="E12" s="71">
        <v>62821.141929999998</v>
      </c>
      <c r="F12" s="278">
        <v>0.22264174861706354</v>
      </c>
      <c r="G12" s="43">
        <v>0.27097850873465545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2689.33959</v>
      </c>
      <c r="E13" s="47">
        <v>3046.2222199999997</v>
      </c>
      <c r="F13" s="278">
        <v>0.21856633811640122</v>
      </c>
      <c r="G13" s="43">
        <v>0.13270270192988143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2672.9944099999993</v>
      </c>
      <c r="E14" s="71">
        <v>539.72909000000004</v>
      </c>
      <c r="F14" s="278">
        <v>3.013404600763556E-2</v>
      </c>
      <c r="G14" s="43">
        <v>-0.7980807262518741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31634.853030000002</v>
      </c>
      <c r="E17" s="41">
        <v>35452.916669999999</v>
      </c>
      <c r="F17" s="276">
        <v>0.12496593388136402</v>
      </c>
      <c r="G17" s="42">
        <v>0.12069168256856599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731.44</v>
      </c>
      <c r="E18" s="71">
        <v>19.8948</v>
      </c>
      <c r="F18" s="278">
        <v>1.8563974647112975E-3</v>
      </c>
      <c r="G18" s="43">
        <v>-0.97280050311713884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29835.220010000001</v>
      </c>
      <c r="E19" s="44">
        <v>33933.603470000002</v>
      </c>
      <c r="F19" s="278">
        <v>0.12879834285221423</v>
      </c>
      <c r="G19" s="43">
        <v>0.13736729471498199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1.7054400000000001</v>
      </c>
      <c r="E20" s="71">
        <v>3.1110000000000002</v>
      </c>
      <c r="F20" s="278">
        <v>0.20251269365967975</v>
      </c>
      <c r="G20" s="43">
        <v>0.82416267942583743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1066.4875799999998</v>
      </c>
      <c r="E21" s="47">
        <v>1496.3073999999999</v>
      </c>
      <c r="F21" s="278">
        <v>0.15741725877131613</v>
      </c>
      <c r="G21" s="43">
        <v>0.40302374641812544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337365.21198000002</v>
      </c>
      <c r="E23" s="287">
        <v>352084.49291000003</v>
      </c>
      <c r="F23" s="288">
        <v>0.18559428554748675</v>
      </c>
      <c r="G23" s="288">
        <v>4.363010887700125E-2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F8" sqref="F8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(janeiro-março)","TABLE VI - Regional Gov. expenditure budget execution (january-march)")</f>
        <v>TABLE VI - Regional Gov. expenditure budget execution (january-march)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7">
        <v>2024</v>
      </c>
      <c r="E3" s="329">
        <v>2025</v>
      </c>
      <c r="F3" s="153">
        <v>2024</v>
      </c>
      <c r="G3" s="153">
        <v>2025</v>
      </c>
      <c r="H3" s="330" t="str">
        <f>+IF(Índice!$D$2=1,"VH (%)","yoy change (%)")</f>
        <v>yoy change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Execution level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273080.23512000026</v>
      </c>
      <c r="E5" s="253">
        <v>307223.1476299999</v>
      </c>
      <c r="F5" s="253">
        <v>18.366429512849486</v>
      </c>
      <c r="G5" s="253">
        <v>19.112228372189072</v>
      </c>
      <c r="H5" s="253">
        <v>12.50288674132573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95367.081020000187</v>
      </c>
      <c r="E6" s="74">
        <v>105557.30667999998</v>
      </c>
      <c r="F6" s="74">
        <v>20.870429197264276</v>
      </c>
      <c r="G6" s="74">
        <v>21.672128355506608</v>
      </c>
      <c r="H6" s="254">
        <v>10.685265346291473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81561.148760000084</v>
      </c>
      <c r="E7" s="75">
        <v>83102.414619999981</v>
      </c>
      <c r="F7" s="75">
        <v>22.440497677995626</v>
      </c>
      <c r="G7" s="75">
        <v>21.803728491909304</v>
      </c>
      <c r="H7" s="254">
        <v>1.8897059242448759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878.07447999999988</v>
      </c>
      <c r="E8" s="75">
        <v>9248.7282300000024</v>
      </c>
      <c r="F8" s="75">
        <v>11.368074138413851</v>
      </c>
      <c r="G8" s="75">
        <v>62.996640012358597</v>
      </c>
      <c r="H8" s="254">
        <v>953.29655293022574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12927.857780000002</v>
      </c>
      <c r="E9" s="75">
        <v>13206.163829999992</v>
      </c>
      <c r="F9" s="75">
        <v>15.072854970280803</v>
      </c>
      <c r="G9" s="75">
        <v>14.473311357538657</v>
      </c>
      <c r="H9" s="254">
        <v>2.1527623117152674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40916.260260000032</v>
      </c>
      <c r="E10" s="75">
        <v>44531.961289999956</v>
      </c>
      <c r="F10" s="75">
        <v>19.963276148721143</v>
      </c>
      <c r="G10" s="75">
        <v>19.994304451390555</v>
      </c>
      <c r="H10" s="254">
        <v>8.8368316337420847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23504.83887</v>
      </c>
      <c r="E11" s="75">
        <v>22587.187590000005</v>
      </c>
      <c r="F11" s="75">
        <v>16.011114623445973</v>
      </c>
      <c r="G11" s="75">
        <v>16.491724504288229</v>
      </c>
      <c r="H11" s="254">
        <v>-3.9040951740844441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108914.46296000003</v>
      </c>
      <c r="E12" s="74">
        <v>133200.86314999999</v>
      </c>
      <c r="F12" s="74">
        <v>17.296526858385477</v>
      </c>
      <c r="G12" s="74">
        <v>17.933398824371</v>
      </c>
      <c r="H12" s="254">
        <v>22.298599772666915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95928.701220000032</v>
      </c>
      <c r="E13" s="74">
        <v>116607.05221999998</v>
      </c>
      <c r="F13" s="74">
        <v>18.469022634275621</v>
      </c>
      <c r="G13" s="74">
        <v>18.571512612337994</v>
      </c>
      <c r="H13" s="254">
        <v>21.555958474384884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0</v>
      </c>
      <c r="E14" s="75">
        <v>0</v>
      </c>
      <c r="F14" s="74">
        <v>0</v>
      </c>
      <c r="G14" s="74">
        <v>0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95928.701220000032</v>
      </c>
      <c r="E15" s="75">
        <v>116607.05221999998</v>
      </c>
      <c r="F15" s="75">
        <v>18.486108974260823</v>
      </c>
      <c r="G15" s="75">
        <v>18.589495695043972</v>
      </c>
      <c r="H15" s="254">
        <v>21.555958474384884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100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100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12985.761739999998</v>
      </c>
      <c r="E18" s="75">
        <v>16593.810929999992</v>
      </c>
      <c r="F18" s="72">
        <v>11.774565203100467</v>
      </c>
      <c r="G18" s="72">
        <v>14.445511447967563</v>
      </c>
      <c r="H18" s="77">
        <v>27.784655703994112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4190.5727999999999</v>
      </c>
      <c r="E19" s="72">
        <v>1103.2491500000001</v>
      </c>
      <c r="F19" s="72">
        <v>9.4392406824228328</v>
      </c>
      <c r="G19" s="72">
        <v>9.710411241183829</v>
      </c>
      <c r="H19" s="77">
        <v>-73.673070421303748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187.01921000000002</v>
      </c>
      <c r="E20" s="72">
        <v>242.57977000000002</v>
      </c>
      <c r="F20" s="72">
        <v>4.6175712884712814</v>
      </c>
      <c r="G20" s="72">
        <v>3.6722756549753122</v>
      </c>
      <c r="H20" s="77">
        <v>29.708477540890055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249575.39625000025</v>
      </c>
      <c r="E22" s="78">
        <v>284635.96003999992</v>
      </c>
      <c r="F22" s="78">
        <v>18.624457341393146</v>
      </c>
      <c r="G22" s="78">
        <v>19.356297821675149</v>
      </c>
      <c r="H22" s="76">
        <v>14.048084994275403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15336.501590000005</v>
      </c>
      <c r="E24" s="78">
        <v>19722.58538</v>
      </c>
      <c r="F24" s="78">
        <v>5.2237407265966658</v>
      </c>
      <c r="G24" s="78">
        <v>5.7755239313146074</v>
      </c>
      <c r="H24" s="76">
        <v>28.598985004897674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8126.6126200000053</v>
      </c>
      <c r="E25" s="72">
        <v>12426.25351</v>
      </c>
      <c r="F25" s="72">
        <v>4.2387004938287589</v>
      </c>
      <c r="G25" s="72">
        <v>6.9364370072029571</v>
      </c>
      <c r="H25" s="77">
        <v>52.908156092224225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7209.88897</v>
      </c>
      <c r="E26" s="59">
        <v>7296.33187</v>
      </c>
      <c r="F26" s="59">
        <v>7.0776663430097848</v>
      </c>
      <c r="G26" s="59">
        <v>4.550508237966187</v>
      </c>
      <c r="H26" s="77">
        <v>1.198949115023612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6620.3523400000004</v>
      </c>
      <c r="E27" s="59">
        <v>4325.6329500000002</v>
      </c>
      <c r="F27" s="59">
        <v>10.18179745299436</v>
      </c>
      <c r="G27" s="59">
        <v>4.084860257311373</v>
      </c>
      <c r="H27" s="77">
        <v>-34.66159008086872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2873.0210000000002</v>
      </c>
      <c r="E28" s="72">
        <v>940.46577000000002</v>
      </c>
      <c r="F28" s="72">
        <v>37.485470083016722</v>
      </c>
      <c r="G28" s="72">
        <v>8.5821723404905743</v>
      </c>
      <c r="H28" s="77">
        <v>-67.265614487328833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3316.6424300000003</v>
      </c>
      <c r="E29" s="72">
        <v>3385.1671800000004</v>
      </c>
      <c r="F29" s="72">
        <v>6.3733547256708087</v>
      </c>
      <c r="G29" s="72">
        <v>3.9607790847963265</v>
      </c>
      <c r="H29" s="77">
        <v>2.0660879623372614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430.68890999999996</v>
      </c>
      <c r="E30" s="72">
        <v>0</v>
      </c>
      <c r="F30" s="72">
        <v>8.0988576875407698</v>
      </c>
      <c r="G30" s="72">
        <v>0</v>
      </c>
      <c r="H30" s="77">
        <v>-100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288416.73671000026</v>
      </c>
      <c r="E33" s="142">
        <v>326945.73300999991</v>
      </c>
      <c r="F33" s="143">
        <v>16.199212687563293</v>
      </c>
      <c r="G33" s="143">
        <v>16.775440721695269</v>
      </c>
      <c r="H33" s="141">
        <v>13.358793508138231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320.47449</v>
      </c>
      <c r="E36" s="150">
        <v>608.14400000000001</v>
      </c>
      <c r="F36" s="150">
        <v>0.41465860180118747</v>
      </c>
      <c r="G36" s="150">
        <v>3.0833993343969555</v>
      </c>
      <c r="H36" s="128">
        <v>89.763622059278418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52783.964859999993</v>
      </c>
      <c r="E37" s="150">
        <v>52859.12775</v>
      </c>
      <c r="F37" s="150">
        <v>19.935248943437518</v>
      </c>
      <c r="G37" s="150">
        <v>11.398081702245815</v>
      </c>
      <c r="H37" s="128">
        <v>0.14239720377080989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C48" sqref="C48:G50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(janeiro-março)","TABLE VII - Regional Gov. expenditure by functional classification (january-march)")</f>
        <v>TABLE VII - Regional Gov. expenditure by functional classification (january-march)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9">
        <v>2024</v>
      </c>
      <c r="E3" s="332">
        <v>2025</v>
      </c>
      <c r="F3" s="333" t="str">
        <f>+IF(Índice!$D$2=1,"Peso na estrutura
 em 2025","Weight in 2025 structure")</f>
        <v>Weight in 2025 structure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41969.335539999985</v>
      </c>
      <c r="E5" s="34">
        <v>46206.396189999992</v>
      </c>
      <c r="F5" s="34">
        <v>14.132741774790722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2049.8343500000001</v>
      </c>
      <c r="E7" s="34">
        <v>3018.6628300000007</v>
      </c>
      <c r="F7" s="34">
        <v>0.92329170416415007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52723.800979999934</v>
      </c>
      <c r="E8" s="34">
        <v>55466.603410000032</v>
      </c>
      <c r="F8" s="34">
        <v>16.965079464212963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4025.7860499999997</v>
      </c>
      <c r="E9" s="34">
        <v>5269.9807800000008</v>
      </c>
      <c r="F9" s="34">
        <v>1.6118824159233831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7015.1273200000023</v>
      </c>
      <c r="E10" s="34">
        <v>8945.0418700000009</v>
      </c>
      <c r="F10" s="34">
        <v>2.7359408509932774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82213.423120000007</v>
      </c>
      <c r="E11" s="34">
        <v>96524.532120000018</v>
      </c>
      <c r="F11" s="34">
        <v>29.523105021544271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4434.2919499999989</v>
      </c>
      <c r="E12" s="34">
        <v>6753.6738699999978</v>
      </c>
      <c r="F12" s="34">
        <v>2.0656865002711111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91136.577530000155</v>
      </c>
      <c r="E13" s="34">
        <v>99501.670559999868</v>
      </c>
      <c r="F13" s="34">
        <v>30.433696027761442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2848.5598699999996</v>
      </c>
      <c r="E14" s="34">
        <v>5259.171379999998</v>
      </c>
      <c r="F14" s="34">
        <v>1.608576240338681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288416.73671000008</v>
      </c>
      <c r="E17" s="145">
        <v>326945.73300999991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320.47449</v>
      </c>
      <c r="E20" s="152">
        <v>608.14400000000001</v>
      </c>
      <c r="F20" s="152">
        <v>0.18600762713774258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52783.964859999993</v>
      </c>
      <c r="E21" s="283">
        <v>52859.12775</v>
      </c>
      <c r="F21" s="283">
        <v>16.167553943388903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2025-04-28T08:42:09Z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