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6\Fevereiro\"/>
    </mc:Choice>
  </mc:AlternateContent>
  <xr:revisionPtr revIDLastSave="0" documentId="13_ncr:1_{BCF3DDE5-4790-41F3-8074-92465A675B1C}" xr6:coauthVersionLast="47" xr6:coauthVersionMax="47" xr10:uidLastSave="{00000000-0000-0000-0000-000000000000}"/>
  <bookViews>
    <workbookView xWindow="-120" yWindow="-120" windowWidth="29040" windowHeight="15720" tabRatio="953" activeTab="1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externalReferences>
    <externalReference r:id="rId17"/>
    <externalReference r:id="rId18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Q8_D_Est_Org!$C$1:$N$45</definedName>
    <definedName name="_xlnm.Print_Area" localSheetId="10">'Q9_Saldo_Global EPR'!$C$1:$E$7</definedName>
    <definedName name="CLASS_ECO">[2]DGO!$C$4:$C$1092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Q8_D_Est_Org!$B$1:$AE$46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Q8_D_Est_Org!$B$1:$AE$46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Q8_D_Est_Org!$O:$AC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Q8_D_Est_Org!$B$1:$AE$46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Q8_D_Est_Org!$B$1:$AE$46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Q8_D_Est_Org!$O:$AC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Q8_D_Est_Org!$B$1:$AE$46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Q8_D_Est_Org!$O:$AC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Q8_D_Est_Org!$B$1:$AE$46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Q8_D_Est_Org!$O:$AC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Q8_D_Est_Org!$B$1:$AE$46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Q8_D_Est_Org!$O:$AC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Q8_D_Est_Org!$B$1:$AE$46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Q8_D_Est_Org!$O:$AC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Q8_D_Est_Org!$B$1:$AE$46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Q8_D_Est_Org!$D$1:$N$46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Q8_D_Est_Org!$O:$AC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Q8_D_Est_Org!$B$1:$AE$46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Q8_D_Est_Org!$O:$AC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Q8_D_Est_Org!$B$1:$AE$46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2" i="38" l="1"/>
  <c r="C41" i="38"/>
  <c r="D33" i="38"/>
  <c r="C32" i="38"/>
  <c r="D24" i="38"/>
  <c r="C23" i="38"/>
  <c r="D3" i="38"/>
  <c r="C2" i="38"/>
  <c r="D3" i="61"/>
  <c r="E3" i="39"/>
  <c r="D3" i="39"/>
  <c r="G3" i="12"/>
  <c r="F3" i="12"/>
  <c r="J1" i="12"/>
  <c r="F3" i="11"/>
  <c r="E4" i="11"/>
  <c r="E3" i="11"/>
  <c r="D4" i="11"/>
  <c r="D3" i="11"/>
  <c r="G3" i="10"/>
  <c r="F3" i="10"/>
  <c r="E3" i="10"/>
  <c r="E4" i="10" l="1"/>
  <c r="D4" i="10"/>
  <c r="D3" i="10"/>
  <c r="E3" i="50"/>
  <c r="D3" i="50"/>
  <c r="E3" i="9"/>
  <c r="D3" i="9"/>
  <c r="E3" i="8"/>
  <c r="D3" i="8"/>
  <c r="G3" i="32"/>
  <c r="G3" i="38"/>
  <c r="G3" i="50"/>
  <c r="G3" i="9"/>
  <c r="C2" i="60"/>
  <c r="C2" i="9"/>
  <c r="C2" i="50"/>
  <c r="C2" i="10"/>
  <c r="C2" i="11"/>
  <c r="C2" i="12"/>
  <c r="C2" i="39"/>
  <c r="C2" i="13"/>
  <c r="C2" i="51"/>
  <c r="C2" i="61"/>
  <c r="C2" i="32"/>
  <c r="C2" i="8"/>
  <c r="I47" i="38"/>
  <c r="H47" i="38"/>
  <c r="G47" i="38"/>
  <c r="F47" i="38"/>
  <c r="E47" i="38"/>
  <c r="D47" i="38"/>
  <c r="I46" i="38"/>
  <c r="H46" i="38"/>
  <c r="G46" i="38"/>
  <c r="F46" i="38"/>
  <c r="E46" i="38"/>
  <c r="D46" i="38"/>
  <c r="I45" i="38"/>
  <c r="H45" i="38"/>
  <c r="G45" i="38"/>
  <c r="F45" i="38"/>
  <c r="E45" i="38"/>
  <c r="D45" i="38"/>
  <c r="I38" i="38"/>
  <c r="H38" i="38"/>
  <c r="G38" i="38"/>
  <c r="F38" i="38"/>
  <c r="E38" i="38"/>
  <c r="D38" i="38"/>
  <c r="I37" i="38"/>
  <c r="H37" i="38"/>
  <c r="G37" i="38"/>
  <c r="F37" i="38"/>
  <c r="E37" i="38"/>
  <c r="D37" i="38"/>
  <c r="I36" i="38"/>
  <c r="H36" i="38"/>
  <c r="G36" i="38"/>
  <c r="F36" i="38"/>
  <c r="E36" i="38"/>
  <c r="D36" i="38"/>
  <c r="I29" i="38"/>
  <c r="H29" i="38"/>
  <c r="G29" i="38"/>
  <c r="F29" i="38"/>
  <c r="E29" i="38"/>
  <c r="D29" i="38"/>
  <c r="I28" i="38"/>
  <c r="H28" i="38"/>
  <c r="G28" i="38"/>
  <c r="F28" i="38"/>
  <c r="E28" i="38"/>
  <c r="D28" i="38"/>
  <c r="I27" i="38"/>
  <c r="H27" i="38"/>
  <c r="G27" i="38"/>
  <c r="F27" i="38"/>
  <c r="E27" i="38"/>
  <c r="D27" i="38"/>
  <c r="I19" i="38"/>
  <c r="H19" i="38"/>
  <c r="G19" i="38"/>
  <c r="F19" i="38"/>
  <c r="E19" i="38"/>
  <c r="D19" i="38"/>
  <c r="I17" i="38"/>
  <c r="H17" i="38"/>
  <c r="G17" i="38"/>
  <c r="F17" i="38"/>
  <c r="E17" i="38"/>
  <c r="D17" i="38"/>
  <c r="I16" i="38"/>
  <c r="H16" i="38"/>
  <c r="G16" i="38"/>
  <c r="F16" i="38"/>
  <c r="E16" i="38"/>
  <c r="D16" i="38"/>
  <c r="I15" i="38"/>
  <c r="H15" i="38"/>
  <c r="G15" i="38"/>
  <c r="F15" i="38"/>
  <c r="E15" i="38"/>
  <c r="D15" i="38"/>
  <c r="I14" i="38"/>
  <c r="H14" i="38"/>
  <c r="G14" i="38"/>
  <c r="F14" i="38"/>
  <c r="E14" i="38"/>
  <c r="D14" i="38"/>
  <c r="I13" i="38"/>
  <c r="H13" i="38"/>
  <c r="G13" i="38"/>
  <c r="F13" i="38"/>
  <c r="E13" i="38"/>
  <c r="D13" i="38"/>
  <c r="I12" i="38"/>
  <c r="H12" i="38"/>
  <c r="G12" i="38"/>
  <c r="F12" i="38"/>
  <c r="E12" i="38"/>
  <c r="D12" i="38"/>
  <c r="I11" i="38"/>
  <c r="H11" i="38"/>
  <c r="G11" i="38"/>
  <c r="F11" i="38"/>
  <c r="E11" i="38"/>
  <c r="D11" i="38"/>
  <c r="I10" i="38"/>
  <c r="H10" i="38"/>
  <c r="G10" i="38"/>
  <c r="F10" i="38"/>
  <c r="E10" i="38"/>
  <c r="D10" i="38"/>
  <c r="I9" i="38"/>
  <c r="H9" i="38"/>
  <c r="G9" i="38"/>
  <c r="F9" i="38"/>
  <c r="E9" i="38"/>
  <c r="D9" i="38"/>
  <c r="I8" i="38"/>
  <c r="H8" i="38"/>
  <c r="G8" i="38"/>
  <c r="F8" i="38"/>
  <c r="E8" i="38"/>
  <c r="D8" i="38"/>
  <c r="I7" i="38"/>
  <c r="H7" i="38"/>
  <c r="G7" i="38"/>
  <c r="F7" i="38"/>
  <c r="E7" i="38"/>
  <c r="D7" i="38"/>
  <c r="I6" i="38"/>
  <c r="H6" i="38"/>
  <c r="G6" i="38"/>
  <c r="F6" i="38"/>
  <c r="E6" i="38"/>
  <c r="D6" i="38"/>
  <c r="F31" i="61"/>
  <c r="E31" i="61"/>
  <c r="D31" i="61"/>
  <c r="F29" i="61"/>
  <c r="E29" i="61"/>
  <c r="D29" i="61"/>
  <c r="F27" i="61"/>
  <c r="E27" i="61"/>
  <c r="D27" i="61"/>
  <c r="F26" i="61"/>
  <c r="E26" i="61"/>
  <c r="D26" i="61"/>
  <c r="F25" i="61"/>
  <c r="E25" i="61"/>
  <c r="D25" i="61"/>
  <c r="F24" i="61"/>
  <c r="E24" i="61"/>
  <c r="D24" i="61"/>
  <c r="F23" i="61"/>
  <c r="E23" i="61"/>
  <c r="D23" i="61"/>
  <c r="F22" i="61"/>
  <c r="E22" i="61"/>
  <c r="D22" i="61"/>
  <c r="F21" i="61"/>
  <c r="E21" i="61"/>
  <c r="D21" i="61"/>
  <c r="F20" i="61"/>
  <c r="E20" i="61"/>
  <c r="D20" i="61"/>
  <c r="F19" i="61"/>
  <c r="E19" i="61"/>
  <c r="D19" i="61"/>
  <c r="F18" i="61"/>
  <c r="E18" i="61"/>
  <c r="D18" i="61"/>
  <c r="F17" i="61"/>
  <c r="E17" i="61"/>
  <c r="D17" i="61"/>
  <c r="F15" i="61"/>
  <c r="E15" i="61"/>
  <c r="D15" i="61"/>
  <c r="F13" i="61"/>
  <c r="E13" i="61"/>
  <c r="D13" i="61"/>
  <c r="F12" i="61"/>
  <c r="E12" i="61"/>
  <c r="D12" i="61"/>
  <c r="F11" i="61"/>
  <c r="E11" i="61"/>
  <c r="D11" i="61"/>
  <c r="F10" i="61"/>
  <c r="E10" i="61"/>
  <c r="D10" i="61"/>
  <c r="F9" i="61"/>
  <c r="E9" i="61"/>
  <c r="D9" i="61"/>
  <c r="F8" i="61"/>
  <c r="E8" i="61"/>
  <c r="D8" i="61"/>
  <c r="F7" i="61"/>
  <c r="E7" i="61"/>
  <c r="D7" i="61"/>
  <c r="F6" i="61"/>
  <c r="E6" i="61"/>
  <c r="D6" i="61"/>
  <c r="F5" i="61"/>
  <c r="E5" i="61"/>
  <c r="D5" i="61"/>
  <c r="F44" i="51"/>
  <c r="E44" i="51"/>
  <c r="D44" i="51"/>
  <c r="F40" i="51"/>
  <c r="E40" i="51"/>
  <c r="D40" i="51"/>
  <c r="F39" i="51"/>
  <c r="E39" i="51"/>
  <c r="D39" i="51"/>
  <c r="F38" i="51"/>
  <c r="E38" i="51"/>
  <c r="D38" i="51"/>
  <c r="F36" i="51"/>
  <c r="E36" i="51"/>
  <c r="D36" i="51"/>
  <c r="F34" i="51"/>
  <c r="E34" i="51"/>
  <c r="D34" i="51"/>
  <c r="F33" i="51"/>
  <c r="E33" i="51"/>
  <c r="D33" i="51"/>
  <c r="F32" i="51"/>
  <c r="E32" i="51"/>
  <c r="D32" i="51"/>
  <c r="F31" i="51"/>
  <c r="E31" i="51"/>
  <c r="D31" i="51"/>
  <c r="F30" i="51"/>
  <c r="E30" i="51"/>
  <c r="D30" i="51"/>
  <c r="F29" i="51"/>
  <c r="E29" i="51"/>
  <c r="D29" i="51"/>
  <c r="F28" i="51"/>
  <c r="E28" i="51"/>
  <c r="D28" i="51"/>
  <c r="F27" i="51"/>
  <c r="E27" i="51"/>
  <c r="D27" i="51"/>
  <c r="F26" i="51"/>
  <c r="E26" i="51"/>
  <c r="D26" i="51"/>
  <c r="F25" i="51"/>
  <c r="E25" i="51"/>
  <c r="D25" i="51"/>
  <c r="F24" i="51"/>
  <c r="E24" i="51"/>
  <c r="D24" i="51"/>
  <c r="F23" i="51"/>
  <c r="E23" i="51"/>
  <c r="D23" i="51"/>
  <c r="F22" i="51"/>
  <c r="E22" i="51"/>
  <c r="D22" i="51"/>
  <c r="F20" i="51"/>
  <c r="E20" i="51"/>
  <c r="D20" i="51"/>
  <c r="F19" i="51"/>
  <c r="E19" i="51"/>
  <c r="D19" i="51"/>
  <c r="F18" i="51"/>
  <c r="E18" i="51"/>
  <c r="D18" i="51"/>
  <c r="F17" i="51"/>
  <c r="E17" i="51"/>
  <c r="D17" i="51"/>
  <c r="F16" i="51"/>
  <c r="E16" i="51"/>
  <c r="D16" i="51"/>
  <c r="F15" i="51"/>
  <c r="E15" i="51"/>
  <c r="D15" i="51"/>
  <c r="F14" i="51"/>
  <c r="E14" i="51"/>
  <c r="D14" i="51"/>
  <c r="F13" i="51"/>
  <c r="E13" i="51"/>
  <c r="D13" i="51"/>
  <c r="F12" i="51"/>
  <c r="E12" i="51"/>
  <c r="D12" i="51"/>
  <c r="F11" i="51"/>
  <c r="E11" i="51"/>
  <c r="D11" i="51"/>
  <c r="F10" i="51"/>
  <c r="E10" i="51"/>
  <c r="D10" i="51"/>
  <c r="F9" i="51"/>
  <c r="E9" i="51"/>
  <c r="D9" i="51"/>
  <c r="F8" i="51"/>
  <c r="E8" i="51"/>
  <c r="D8" i="51"/>
  <c r="F7" i="51"/>
  <c r="E7" i="51"/>
  <c r="D7" i="51"/>
  <c r="F6" i="51"/>
  <c r="E6" i="51"/>
  <c r="D6" i="51"/>
  <c r="F5" i="51"/>
  <c r="E5" i="51"/>
  <c r="D5" i="51"/>
  <c r="F4" i="51"/>
  <c r="E4" i="51"/>
  <c r="D4" i="51"/>
  <c r="F10" i="13"/>
  <c r="E10" i="13"/>
  <c r="D10" i="13"/>
  <c r="F9" i="13"/>
  <c r="E9" i="13"/>
  <c r="D9" i="13"/>
  <c r="F8" i="13"/>
  <c r="E8" i="13"/>
  <c r="D8" i="13"/>
  <c r="F7" i="13"/>
  <c r="E7" i="13"/>
  <c r="D7" i="13"/>
  <c r="F4" i="13"/>
  <c r="E4" i="13"/>
  <c r="D4" i="13"/>
  <c r="E5" i="39"/>
  <c r="D5" i="39"/>
  <c r="N44" i="12"/>
  <c r="M44" i="12"/>
  <c r="L44" i="12"/>
  <c r="K44" i="12"/>
  <c r="J44" i="12"/>
  <c r="I44" i="12"/>
  <c r="H44" i="12"/>
  <c r="G44" i="12"/>
  <c r="F44" i="12"/>
  <c r="E44" i="12"/>
  <c r="D44" i="12"/>
  <c r="N41" i="12"/>
  <c r="M41" i="12"/>
  <c r="L41" i="12"/>
  <c r="K41" i="12"/>
  <c r="J41" i="12"/>
  <c r="I41" i="12"/>
  <c r="H41" i="12"/>
  <c r="G41" i="12"/>
  <c r="F41" i="12"/>
  <c r="E41" i="12"/>
  <c r="D41" i="12"/>
  <c r="N40" i="12"/>
  <c r="M40" i="12"/>
  <c r="L40" i="12"/>
  <c r="K40" i="12"/>
  <c r="J40" i="12"/>
  <c r="I40" i="12"/>
  <c r="H40" i="12"/>
  <c r="G40" i="12"/>
  <c r="F40" i="12"/>
  <c r="E40" i="12"/>
  <c r="D40" i="12"/>
  <c r="N38" i="12"/>
  <c r="M38" i="12"/>
  <c r="L38" i="12"/>
  <c r="K38" i="12"/>
  <c r="J38" i="12"/>
  <c r="I38" i="12"/>
  <c r="H38" i="12"/>
  <c r="G38" i="12"/>
  <c r="F38" i="12"/>
  <c r="E38" i="12"/>
  <c r="D38" i="12"/>
  <c r="N36" i="12"/>
  <c r="M36" i="12"/>
  <c r="L36" i="12"/>
  <c r="K36" i="12"/>
  <c r="J36" i="12"/>
  <c r="I36" i="12"/>
  <c r="H36" i="12"/>
  <c r="G36" i="12"/>
  <c r="F36" i="12"/>
  <c r="E36" i="12"/>
  <c r="D36" i="12"/>
  <c r="N35" i="12"/>
  <c r="M35" i="12"/>
  <c r="L35" i="12"/>
  <c r="K35" i="12"/>
  <c r="J35" i="12"/>
  <c r="I35" i="12"/>
  <c r="H35" i="12"/>
  <c r="G35" i="12"/>
  <c r="F35" i="12"/>
  <c r="E35" i="12"/>
  <c r="D35" i="12"/>
  <c r="N34" i="12"/>
  <c r="M34" i="12"/>
  <c r="L34" i="12"/>
  <c r="K34" i="12"/>
  <c r="J34" i="12"/>
  <c r="I34" i="12"/>
  <c r="H34" i="12"/>
  <c r="G34" i="12"/>
  <c r="F34" i="12"/>
  <c r="E34" i="12"/>
  <c r="D34" i="12"/>
  <c r="N33" i="12"/>
  <c r="M33" i="12"/>
  <c r="L33" i="12"/>
  <c r="K33" i="12"/>
  <c r="J33" i="12"/>
  <c r="I33" i="12"/>
  <c r="H33" i="12"/>
  <c r="G33" i="12"/>
  <c r="F33" i="12"/>
  <c r="E33" i="12"/>
  <c r="D33" i="12"/>
  <c r="N32" i="12"/>
  <c r="M32" i="12"/>
  <c r="L32" i="12"/>
  <c r="K32" i="12"/>
  <c r="J32" i="12"/>
  <c r="I32" i="12"/>
  <c r="H32" i="12"/>
  <c r="G32" i="12"/>
  <c r="F32" i="12"/>
  <c r="E32" i="12"/>
  <c r="D32" i="12"/>
  <c r="N31" i="12"/>
  <c r="M31" i="12"/>
  <c r="L31" i="12"/>
  <c r="K31" i="12"/>
  <c r="J31" i="12"/>
  <c r="I31" i="12"/>
  <c r="H31" i="12"/>
  <c r="G31" i="12"/>
  <c r="F31" i="12"/>
  <c r="E31" i="12"/>
  <c r="D31" i="12"/>
  <c r="N30" i="12"/>
  <c r="M30" i="12"/>
  <c r="L30" i="12"/>
  <c r="K30" i="12"/>
  <c r="J30" i="12"/>
  <c r="I30" i="12"/>
  <c r="H30" i="12"/>
  <c r="G30" i="12"/>
  <c r="F30" i="12"/>
  <c r="E30" i="12"/>
  <c r="D30" i="12"/>
  <c r="N29" i="12"/>
  <c r="M29" i="12"/>
  <c r="L29" i="12"/>
  <c r="K29" i="12"/>
  <c r="J29" i="12"/>
  <c r="I29" i="12"/>
  <c r="H29" i="12"/>
  <c r="G29" i="12"/>
  <c r="F29" i="12"/>
  <c r="E29" i="12"/>
  <c r="D29" i="12"/>
  <c r="N28" i="12"/>
  <c r="M28" i="12"/>
  <c r="L28" i="12"/>
  <c r="K28" i="12"/>
  <c r="J28" i="12"/>
  <c r="I28" i="12"/>
  <c r="H28" i="12"/>
  <c r="G28" i="12"/>
  <c r="F28" i="12"/>
  <c r="E28" i="12"/>
  <c r="D28" i="12"/>
  <c r="N27" i="12"/>
  <c r="M27" i="12"/>
  <c r="L27" i="12"/>
  <c r="K27" i="12"/>
  <c r="J27" i="12"/>
  <c r="I27" i="12"/>
  <c r="H27" i="12"/>
  <c r="G27" i="12"/>
  <c r="F27" i="12"/>
  <c r="E27" i="12"/>
  <c r="D27" i="12"/>
  <c r="N26" i="12"/>
  <c r="M26" i="12"/>
  <c r="L26" i="12"/>
  <c r="K26" i="12"/>
  <c r="J26" i="12"/>
  <c r="I26" i="12"/>
  <c r="H26" i="12"/>
  <c r="G26" i="12"/>
  <c r="F26" i="12"/>
  <c r="E26" i="12"/>
  <c r="D26" i="12"/>
  <c r="N25" i="12"/>
  <c r="M25" i="12"/>
  <c r="L25" i="12"/>
  <c r="K25" i="12"/>
  <c r="J25" i="12"/>
  <c r="I25" i="12"/>
  <c r="H25" i="12"/>
  <c r="G25" i="12"/>
  <c r="F25" i="12"/>
  <c r="E25" i="12"/>
  <c r="D25" i="12"/>
  <c r="N24" i="12"/>
  <c r="M24" i="12"/>
  <c r="L24" i="12"/>
  <c r="K24" i="12"/>
  <c r="J24" i="12"/>
  <c r="I24" i="12"/>
  <c r="H24" i="12"/>
  <c r="G24" i="12"/>
  <c r="F24" i="12"/>
  <c r="E24" i="12"/>
  <c r="D24" i="12"/>
  <c r="N23" i="12"/>
  <c r="M23" i="12"/>
  <c r="L23" i="12"/>
  <c r="K23" i="12"/>
  <c r="J23" i="12"/>
  <c r="I23" i="12"/>
  <c r="H23" i="12"/>
  <c r="G23" i="12"/>
  <c r="F23" i="12"/>
  <c r="E23" i="12"/>
  <c r="D23" i="12"/>
  <c r="N22" i="12"/>
  <c r="M22" i="12"/>
  <c r="L22" i="12"/>
  <c r="K22" i="12"/>
  <c r="J22" i="12"/>
  <c r="I22" i="12"/>
  <c r="H22" i="12"/>
  <c r="G22" i="12"/>
  <c r="F22" i="12"/>
  <c r="E22" i="12"/>
  <c r="D22" i="12"/>
  <c r="N21" i="12"/>
  <c r="M21" i="12"/>
  <c r="L21" i="12"/>
  <c r="K21" i="12"/>
  <c r="J21" i="12"/>
  <c r="I21" i="12"/>
  <c r="H21" i="12"/>
  <c r="G21" i="12"/>
  <c r="F21" i="12"/>
  <c r="E21" i="12"/>
  <c r="D21" i="12"/>
  <c r="N20" i="12"/>
  <c r="M20" i="12"/>
  <c r="L20" i="12"/>
  <c r="K20" i="12"/>
  <c r="J20" i="12"/>
  <c r="I20" i="12"/>
  <c r="H20" i="12"/>
  <c r="G20" i="12"/>
  <c r="F20" i="12"/>
  <c r="E20" i="12"/>
  <c r="D20" i="12"/>
  <c r="N19" i="12"/>
  <c r="M19" i="12"/>
  <c r="L19" i="12"/>
  <c r="K19" i="12"/>
  <c r="J19" i="12"/>
  <c r="I19" i="12"/>
  <c r="H19" i="12"/>
  <c r="G19" i="12"/>
  <c r="F19" i="12"/>
  <c r="E19" i="12"/>
  <c r="D19" i="12"/>
  <c r="N18" i="12"/>
  <c r="M18" i="12"/>
  <c r="L18" i="12"/>
  <c r="K18" i="12"/>
  <c r="J18" i="12"/>
  <c r="I18" i="12"/>
  <c r="H18" i="12"/>
  <c r="G18" i="12"/>
  <c r="F18" i="12"/>
  <c r="E18" i="12"/>
  <c r="D18" i="12"/>
  <c r="N17" i="12"/>
  <c r="M17" i="12"/>
  <c r="L17" i="12"/>
  <c r="K17" i="12"/>
  <c r="J17" i="12"/>
  <c r="I17" i="12"/>
  <c r="H17" i="12"/>
  <c r="G17" i="12"/>
  <c r="F17" i="12"/>
  <c r="E17" i="12"/>
  <c r="D17" i="12"/>
  <c r="N16" i="12"/>
  <c r="M16" i="12"/>
  <c r="L16" i="12"/>
  <c r="K16" i="12"/>
  <c r="J16" i="12"/>
  <c r="I16" i="12"/>
  <c r="H16" i="12"/>
  <c r="G16" i="12"/>
  <c r="F16" i="12"/>
  <c r="E16" i="12"/>
  <c r="D16" i="12"/>
  <c r="N15" i="12"/>
  <c r="M15" i="12"/>
  <c r="L15" i="12"/>
  <c r="K15" i="12"/>
  <c r="J15" i="12"/>
  <c r="I15" i="12"/>
  <c r="H15" i="12"/>
  <c r="G15" i="12"/>
  <c r="F15" i="12"/>
  <c r="E15" i="12"/>
  <c r="D15" i="12"/>
  <c r="N14" i="12"/>
  <c r="M14" i="12"/>
  <c r="L14" i="12"/>
  <c r="K14" i="12"/>
  <c r="J14" i="12"/>
  <c r="I14" i="12"/>
  <c r="H14" i="12"/>
  <c r="G14" i="12"/>
  <c r="F14" i="12"/>
  <c r="E14" i="12"/>
  <c r="D14" i="12"/>
  <c r="N13" i="12"/>
  <c r="M13" i="12"/>
  <c r="L13" i="12"/>
  <c r="K13" i="12"/>
  <c r="J13" i="12"/>
  <c r="I13" i="12"/>
  <c r="H13" i="12"/>
  <c r="G13" i="12"/>
  <c r="F13" i="12"/>
  <c r="E13" i="12"/>
  <c r="D13" i="12"/>
  <c r="N12" i="12"/>
  <c r="M12" i="12"/>
  <c r="L12" i="12"/>
  <c r="K12" i="12"/>
  <c r="J12" i="12"/>
  <c r="I12" i="12"/>
  <c r="H12" i="12"/>
  <c r="G12" i="12"/>
  <c r="F12" i="12"/>
  <c r="E12" i="12"/>
  <c r="D12" i="12"/>
  <c r="N11" i="12"/>
  <c r="M11" i="12"/>
  <c r="L11" i="12"/>
  <c r="K11" i="12"/>
  <c r="J11" i="12"/>
  <c r="I11" i="12"/>
  <c r="H11" i="12"/>
  <c r="G11" i="12"/>
  <c r="F11" i="12"/>
  <c r="E11" i="12"/>
  <c r="D11" i="12"/>
  <c r="N10" i="12"/>
  <c r="M10" i="12"/>
  <c r="L10" i="12"/>
  <c r="K10" i="12"/>
  <c r="J10" i="12"/>
  <c r="I10" i="12"/>
  <c r="H10" i="12"/>
  <c r="G10" i="12"/>
  <c r="F10" i="12"/>
  <c r="E10" i="12"/>
  <c r="D10" i="12"/>
  <c r="N9" i="12"/>
  <c r="M9" i="12"/>
  <c r="L9" i="12"/>
  <c r="K9" i="12"/>
  <c r="J9" i="12"/>
  <c r="I9" i="12"/>
  <c r="H9" i="12"/>
  <c r="G9" i="12"/>
  <c r="F9" i="12"/>
  <c r="E9" i="12"/>
  <c r="D9" i="12"/>
  <c r="N8" i="12"/>
  <c r="M8" i="12"/>
  <c r="L8" i="12"/>
  <c r="K8" i="12"/>
  <c r="J8" i="12"/>
  <c r="I8" i="12"/>
  <c r="H8" i="12"/>
  <c r="G8" i="12"/>
  <c r="F8" i="12"/>
  <c r="E8" i="12"/>
  <c r="D8" i="12"/>
  <c r="N7" i="12"/>
  <c r="M7" i="12"/>
  <c r="L7" i="12"/>
  <c r="K7" i="12"/>
  <c r="J7" i="12"/>
  <c r="I7" i="12"/>
  <c r="H7" i="12"/>
  <c r="G7" i="12"/>
  <c r="F7" i="12"/>
  <c r="E7" i="12"/>
  <c r="D7" i="12"/>
  <c r="N6" i="12"/>
  <c r="M6" i="12"/>
  <c r="L6" i="12"/>
  <c r="K6" i="12"/>
  <c r="J6" i="12"/>
  <c r="I6" i="12"/>
  <c r="H6" i="12"/>
  <c r="G6" i="12"/>
  <c r="F6" i="12"/>
  <c r="E6" i="12"/>
  <c r="D6" i="12"/>
  <c r="N5" i="12"/>
  <c r="M5" i="12"/>
  <c r="L5" i="12"/>
  <c r="K5" i="12"/>
  <c r="J5" i="12"/>
  <c r="I5" i="12"/>
  <c r="H5" i="12"/>
  <c r="G5" i="12"/>
  <c r="F5" i="12"/>
  <c r="E5" i="12"/>
  <c r="D5" i="12"/>
  <c r="N4" i="12"/>
  <c r="M4" i="12"/>
  <c r="L4" i="12"/>
  <c r="K4" i="12"/>
  <c r="J4" i="12"/>
  <c r="I4" i="12"/>
  <c r="H4" i="12"/>
  <c r="G4" i="12"/>
  <c r="F4" i="12"/>
  <c r="E4" i="12"/>
  <c r="D4" i="12"/>
  <c r="F21" i="11"/>
  <c r="E21" i="11"/>
  <c r="D21" i="11"/>
  <c r="F20" i="11"/>
  <c r="E20" i="11"/>
  <c r="D20" i="11"/>
  <c r="F17" i="11"/>
  <c r="E17" i="11"/>
  <c r="D17" i="11"/>
  <c r="F14" i="11"/>
  <c r="E14" i="11"/>
  <c r="D14" i="11"/>
  <c r="F13" i="11"/>
  <c r="E13" i="11"/>
  <c r="D13" i="11"/>
  <c r="F12" i="11"/>
  <c r="E12" i="11"/>
  <c r="D12" i="11"/>
  <c r="F11" i="11"/>
  <c r="E11" i="11"/>
  <c r="D11" i="11"/>
  <c r="F10" i="11"/>
  <c r="E10" i="11"/>
  <c r="D10" i="11"/>
  <c r="F9" i="11"/>
  <c r="E9" i="11"/>
  <c r="D9" i="11"/>
  <c r="F8" i="11"/>
  <c r="E8" i="11"/>
  <c r="D8" i="11"/>
  <c r="F7" i="11"/>
  <c r="E7" i="11"/>
  <c r="D7" i="11"/>
  <c r="F6" i="11"/>
  <c r="E6" i="11"/>
  <c r="D6" i="11"/>
  <c r="F5" i="11"/>
  <c r="E5" i="11"/>
  <c r="D5" i="11"/>
  <c r="H37" i="10"/>
  <c r="G37" i="10"/>
  <c r="F37" i="10"/>
  <c r="E37" i="10"/>
  <c r="D37" i="10"/>
  <c r="H36" i="10"/>
  <c r="G36" i="10"/>
  <c r="F36" i="10"/>
  <c r="E36" i="10"/>
  <c r="D36" i="10"/>
  <c r="H33" i="10"/>
  <c r="G33" i="10"/>
  <c r="F33" i="10"/>
  <c r="E33" i="10"/>
  <c r="D33" i="10"/>
  <c r="H31" i="10"/>
  <c r="G31" i="10"/>
  <c r="F31" i="10"/>
  <c r="E31" i="10"/>
  <c r="D31" i="10"/>
  <c r="H30" i="10"/>
  <c r="G30" i="10"/>
  <c r="F30" i="10"/>
  <c r="E30" i="10"/>
  <c r="D30" i="10"/>
  <c r="H29" i="10"/>
  <c r="G29" i="10"/>
  <c r="F29" i="10"/>
  <c r="E29" i="10"/>
  <c r="D29" i="10"/>
  <c r="H28" i="10"/>
  <c r="G28" i="10"/>
  <c r="F28" i="10"/>
  <c r="E28" i="10"/>
  <c r="D28" i="10"/>
  <c r="H27" i="10"/>
  <c r="G27" i="10"/>
  <c r="F27" i="10"/>
  <c r="E27" i="10"/>
  <c r="D27" i="10"/>
  <c r="H26" i="10"/>
  <c r="G26" i="10"/>
  <c r="F26" i="10"/>
  <c r="E26" i="10"/>
  <c r="D26" i="10"/>
  <c r="H25" i="10"/>
  <c r="G25" i="10"/>
  <c r="F25" i="10"/>
  <c r="E25" i="10"/>
  <c r="D25" i="10"/>
  <c r="H24" i="10"/>
  <c r="G24" i="10"/>
  <c r="F24" i="10"/>
  <c r="E24" i="10"/>
  <c r="D24" i="10"/>
  <c r="H22" i="10"/>
  <c r="G22" i="10"/>
  <c r="F22" i="10"/>
  <c r="E22" i="10"/>
  <c r="D22" i="10"/>
  <c r="H20" i="10"/>
  <c r="G20" i="10"/>
  <c r="F20" i="10"/>
  <c r="E20" i="10"/>
  <c r="D20" i="10"/>
  <c r="H19" i="10"/>
  <c r="G19" i="10"/>
  <c r="F19" i="10"/>
  <c r="E19" i="10"/>
  <c r="D19" i="10"/>
  <c r="H18" i="10"/>
  <c r="G18" i="10"/>
  <c r="F18" i="10"/>
  <c r="E18" i="10"/>
  <c r="D18" i="10"/>
  <c r="H17" i="10"/>
  <c r="G17" i="10"/>
  <c r="F17" i="10"/>
  <c r="E17" i="10"/>
  <c r="D17" i="10"/>
  <c r="H16" i="10"/>
  <c r="G16" i="10"/>
  <c r="F16" i="10"/>
  <c r="E16" i="10"/>
  <c r="D16" i="10"/>
  <c r="H15" i="10"/>
  <c r="G15" i="10"/>
  <c r="F15" i="10"/>
  <c r="E15" i="10"/>
  <c r="D15" i="10"/>
  <c r="H14" i="10"/>
  <c r="G14" i="10"/>
  <c r="F14" i="10"/>
  <c r="E14" i="10"/>
  <c r="D14" i="10"/>
  <c r="H13" i="10"/>
  <c r="G13" i="10"/>
  <c r="F13" i="10"/>
  <c r="E13" i="10"/>
  <c r="D13" i="10"/>
  <c r="H12" i="10"/>
  <c r="G12" i="10"/>
  <c r="F12" i="10"/>
  <c r="E12" i="10"/>
  <c r="D12" i="10"/>
  <c r="H11" i="10"/>
  <c r="G11" i="10"/>
  <c r="F11" i="10"/>
  <c r="E11" i="10"/>
  <c r="D11" i="10"/>
  <c r="H10" i="10"/>
  <c r="G10" i="10"/>
  <c r="F10" i="10"/>
  <c r="E10" i="10"/>
  <c r="D10" i="10"/>
  <c r="H9" i="10"/>
  <c r="G9" i="10"/>
  <c r="F9" i="10"/>
  <c r="E9" i="10"/>
  <c r="D9" i="10"/>
  <c r="H8" i="10"/>
  <c r="G8" i="10"/>
  <c r="F8" i="10"/>
  <c r="E8" i="10"/>
  <c r="D8" i="10"/>
  <c r="H7" i="10"/>
  <c r="G7" i="10"/>
  <c r="F7" i="10"/>
  <c r="E7" i="10"/>
  <c r="D7" i="10"/>
  <c r="H6" i="10"/>
  <c r="G6" i="10"/>
  <c r="F6" i="10"/>
  <c r="E6" i="10"/>
  <c r="D6" i="10"/>
  <c r="H5" i="10"/>
  <c r="G5" i="10"/>
  <c r="F5" i="10"/>
  <c r="E5" i="10"/>
  <c r="D5" i="10"/>
  <c r="G23" i="50"/>
  <c r="F23" i="50"/>
  <c r="E23" i="50"/>
  <c r="D23" i="50"/>
  <c r="G21" i="50"/>
  <c r="F21" i="50"/>
  <c r="E21" i="50"/>
  <c r="D21" i="50"/>
  <c r="G20" i="50"/>
  <c r="F20" i="50"/>
  <c r="E20" i="50"/>
  <c r="D20" i="50"/>
  <c r="G19" i="50"/>
  <c r="F19" i="50"/>
  <c r="E19" i="50"/>
  <c r="D19" i="50"/>
  <c r="G18" i="50"/>
  <c r="F18" i="50"/>
  <c r="E18" i="50"/>
  <c r="D18" i="50"/>
  <c r="G17" i="50"/>
  <c r="F17" i="50"/>
  <c r="E17" i="50"/>
  <c r="D17" i="50"/>
  <c r="G15" i="50"/>
  <c r="F15" i="50"/>
  <c r="E15" i="50"/>
  <c r="D15" i="50"/>
  <c r="G14" i="50"/>
  <c r="F14" i="50"/>
  <c r="E14" i="50"/>
  <c r="D14" i="50"/>
  <c r="G13" i="50"/>
  <c r="F13" i="50"/>
  <c r="E13" i="50"/>
  <c r="D13" i="50"/>
  <c r="G12" i="50"/>
  <c r="F12" i="50"/>
  <c r="E12" i="50"/>
  <c r="D12" i="50"/>
  <c r="G11" i="50"/>
  <c r="F11" i="50"/>
  <c r="E11" i="50"/>
  <c r="D11" i="50"/>
  <c r="G10" i="50"/>
  <c r="F10" i="50"/>
  <c r="E10" i="50"/>
  <c r="D10" i="50"/>
  <c r="G9" i="50"/>
  <c r="F9" i="50"/>
  <c r="E9" i="50"/>
  <c r="D9" i="50"/>
  <c r="G8" i="50"/>
  <c r="F8" i="50"/>
  <c r="E8" i="50"/>
  <c r="D8" i="50"/>
  <c r="G7" i="50"/>
  <c r="F7" i="50"/>
  <c r="E7" i="50"/>
  <c r="D7" i="50"/>
  <c r="G5" i="50"/>
  <c r="F5" i="50"/>
  <c r="E5" i="50"/>
  <c r="D5" i="50"/>
  <c r="G23" i="9"/>
  <c r="F23" i="9"/>
  <c r="E23" i="9"/>
  <c r="D23" i="9"/>
  <c r="G21" i="9"/>
  <c r="F21" i="9"/>
  <c r="E21" i="9"/>
  <c r="D21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5" i="9"/>
  <c r="F5" i="9"/>
  <c r="E5" i="9"/>
  <c r="D5" i="9"/>
  <c r="F31" i="60"/>
  <c r="E31" i="60"/>
  <c r="D31" i="60"/>
  <c r="F30" i="60"/>
  <c r="E30" i="60"/>
  <c r="D30" i="60"/>
  <c r="F29" i="60"/>
  <c r="E29" i="60"/>
  <c r="D29" i="60"/>
  <c r="F27" i="60"/>
  <c r="E27" i="60"/>
  <c r="D27" i="60"/>
  <c r="F25" i="60"/>
  <c r="E25" i="60"/>
  <c r="D25" i="60"/>
  <c r="F23" i="60"/>
  <c r="E23" i="60"/>
  <c r="D23" i="60"/>
  <c r="F22" i="60"/>
  <c r="E22" i="60"/>
  <c r="D22" i="60"/>
  <c r="F21" i="60"/>
  <c r="E21" i="60"/>
  <c r="D21" i="60"/>
  <c r="F20" i="60"/>
  <c r="E20" i="60"/>
  <c r="D20" i="60"/>
  <c r="F19" i="60"/>
  <c r="E19" i="60"/>
  <c r="D19" i="60"/>
  <c r="F18" i="60"/>
  <c r="E18" i="60"/>
  <c r="D18" i="60"/>
  <c r="F17" i="60"/>
  <c r="E17" i="60"/>
  <c r="D17" i="60"/>
  <c r="F16" i="60"/>
  <c r="E16" i="60"/>
  <c r="D16" i="60"/>
  <c r="F15" i="60"/>
  <c r="E15" i="60"/>
  <c r="D15" i="60"/>
  <c r="F14" i="60"/>
  <c r="E14" i="60"/>
  <c r="D14" i="60"/>
  <c r="F12" i="60"/>
  <c r="E12" i="60"/>
  <c r="D12" i="60"/>
  <c r="F10" i="60"/>
  <c r="E10" i="60"/>
  <c r="D10" i="60"/>
  <c r="F9" i="60"/>
  <c r="E9" i="60"/>
  <c r="D9" i="60"/>
  <c r="F8" i="60"/>
  <c r="E8" i="60"/>
  <c r="D8" i="60"/>
  <c r="F7" i="60"/>
  <c r="E7" i="60"/>
  <c r="D7" i="60"/>
  <c r="F6" i="60"/>
  <c r="E6" i="60"/>
  <c r="D6" i="60"/>
  <c r="F5" i="60"/>
  <c r="E5" i="60"/>
  <c r="D5" i="60"/>
  <c r="F3" i="60"/>
  <c r="E3" i="60"/>
  <c r="D3" i="60"/>
  <c r="F36" i="8"/>
  <c r="E36" i="8"/>
  <c r="D36" i="8"/>
  <c r="F35" i="8"/>
  <c r="E35" i="8"/>
  <c r="D35" i="8"/>
  <c r="F34" i="8"/>
  <c r="E34" i="8"/>
  <c r="D34" i="8"/>
  <c r="F33" i="8"/>
  <c r="E33" i="8"/>
  <c r="D33" i="8"/>
  <c r="F31" i="8"/>
  <c r="E31" i="8"/>
  <c r="D31" i="8"/>
  <c r="F29" i="8"/>
  <c r="E29" i="8"/>
  <c r="D29" i="8"/>
  <c r="F27" i="8"/>
  <c r="E27" i="8"/>
  <c r="D27" i="8"/>
  <c r="F26" i="8"/>
  <c r="E26" i="8"/>
  <c r="D26" i="8"/>
  <c r="F25" i="8"/>
  <c r="E25" i="8"/>
  <c r="D25" i="8"/>
  <c r="F24" i="8"/>
  <c r="E24" i="8"/>
  <c r="D24" i="8"/>
  <c r="F23" i="8"/>
  <c r="E23" i="8"/>
  <c r="D23" i="8"/>
  <c r="F22" i="8"/>
  <c r="E22" i="8"/>
  <c r="D22" i="8"/>
  <c r="F21" i="8"/>
  <c r="E21" i="8"/>
  <c r="D21" i="8"/>
  <c r="F20" i="8"/>
  <c r="E20" i="8"/>
  <c r="D20" i="8"/>
  <c r="F19" i="8"/>
  <c r="E19" i="8"/>
  <c r="D19" i="8"/>
  <c r="F18" i="8"/>
  <c r="E18" i="8"/>
  <c r="D18" i="8"/>
  <c r="F17" i="8"/>
  <c r="E17" i="8"/>
  <c r="D17" i="8"/>
  <c r="F16" i="8"/>
  <c r="E16" i="8"/>
  <c r="D16" i="8"/>
  <c r="F15" i="8"/>
  <c r="E15" i="8"/>
  <c r="D15" i="8"/>
  <c r="F14" i="8"/>
  <c r="E14" i="8"/>
  <c r="D14" i="8"/>
  <c r="F12" i="8"/>
  <c r="E12" i="8"/>
  <c r="D12" i="8"/>
  <c r="F10" i="8"/>
  <c r="E10" i="8"/>
  <c r="D10" i="8"/>
  <c r="F9" i="8"/>
  <c r="E9" i="8"/>
  <c r="D9" i="8"/>
  <c r="F8" i="8"/>
  <c r="E8" i="8"/>
  <c r="D8" i="8"/>
  <c r="F7" i="8"/>
  <c r="E7" i="8"/>
  <c r="D7" i="8"/>
  <c r="F6" i="8"/>
  <c r="E6" i="8"/>
  <c r="D6" i="8"/>
  <c r="F5" i="8"/>
  <c r="E5" i="8"/>
  <c r="D5" i="8"/>
  <c r="H46" i="32"/>
  <c r="G46" i="32"/>
  <c r="F46" i="32"/>
  <c r="E46" i="32"/>
  <c r="D46" i="32"/>
  <c r="H45" i="32"/>
  <c r="G45" i="32"/>
  <c r="F45" i="32"/>
  <c r="E45" i="32"/>
  <c r="D45" i="32"/>
  <c r="H44" i="32"/>
  <c r="G44" i="32"/>
  <c r="F44" i="32"/>
  <c r="E44" i="32"/>
  <c r="D44" i="32"/>
  <c r="H43" i="32"/>
  <c r="G43" i="32"/>
  <c r="F43" i="32"/>
  <c r="E43" i="32"/>
  <c r="D43" i="32"/>
  <c r="H42" i="32"/>
  <c r="G42" i="32"/>
  <c r="F42" i="32"/>
  <c r="E42" i="32"/>
  <c r="D42" i="32"/>
  <c r="H41" i="32"/>
  <c r="G41" i="32"/>
  <c r="F41" i="32"/>
  <c r="E41" i="32"/>
  <c r="D41" i="32"/>
  <c r="H39" i="32"/>
  <c r="G39" i="32"/>
  <c r="F39" i="32"/>
  <c r="E39" i="32"/>
  <c r="D39" i="32"/>
  <c r="H38" i="32"/>
  <c r="G38" i="32"/>
  <c r="F38" i="32"/>
  <c r="E38" i="32"/>
  <c r="D38" i="32"/>
  <c r="H36" i="32"/>
  <c r="G36" i="32"/>
  <c r="F36" i="32"/>
  <c r="E36" i="32"/>
  <c r="D36" i="32"/>
  <c r="H35" i="32"/>
  <c r="G35" i="32"/>
  <c r="F35" i="32"/>
  <c r="E35" i="32"/>
  <c r="D35" i="32"/>
  <c r="H34" i="32"/>
  <c r="G34" i="32"/>
  <c r="F34" i="32"/>
  <c r="E34" i="32"/>
  <c r="D34" i="32"/>
  <c r="H33" i="32"/>
  <c r="G33" i="32"/>
  <c r="F33" i="32"/>
  <c r="E33" i="32"/>
  <c r="D33" i="32"/>
  <c r="H32" i="32"/>
  <c r="G32" i="32"/>
  <c r="F32" i="32"/>
  <c r="E32" i="32"/>
  <c r="D32" i="32"/>
  <c r="H31" i="32"/>
  <c r="G31" i="32"/>
  <c r="F31" i="32"/>
  <c r="E31" i="32"/>
  <c r="D31" i="32"/>
  <c r="H30" i="32"/>
  <c r="G30" i="32"/>
  <c r="F30" i="32"/>
  <c r="E30" i="32"/>
  <c r="D30" i="32"/>
  <c r="H29" i="32"/>
  <c r="G29" i="32"/>
  <c r="F29" i="32"/>
  <c r="E29" i="32"/>
  <c r="D29" i="32"/>
  <c r="H28" i="32"/>
  <c r="G28" i="32"/>
  <c r="F28" i="32"/>
  <c r="E28" i="32"/>
  <c r="D28" i="32"/>
  <c r="H27" i="32"/>
  <c r="G27" i="32"/>
  <c r="F27" i="32"/>
  <c r="E27" i="32"/>
  <c r="D27" i="32"/>
  <c r="H26" i="32"/>
  <c r="G26" i="32"/>
  <c r="F26" i="32"/>
  <c r="E26" i="32"/>
  <c r="D26" i="32"/>
  <c r="H25" i="32"/>
  <c r="G25" i="32"/>
  <c r="F25" i="32"/>
  <c r="E25" i="32"/>
  <c r="D25" i="32"/>
  <c r="H24" i="32"/>
  <c r="G24" i="32"/>
  <c r="F24" i="32"/>
  <c r="E24" i="32"/>
  <c r="D24" i="32"/>
  <c r="H23" i="32"/>
  <c r="G23" i="32"/>
  <c r="F23" i="32"/>
  <c r="E23" i="32"/>
  <c r="D23" i="32"/>
  <c r="H22" i="32"/>
  <c r="G22" i="32"/>
  <c r="F22" i="32"/>
  <c r="E22" i="32"/>
  <c r="D22" i="32"/>
  <c r="H21" i="32"/>
  <c r="G21" i="32"/>
  <c r="F21" i="32"/>
  <c r="E21" i="32"/>
  <c r="D21" i="32"/>
  <c r="H20" i="32"/>
  <c r="G20" i="32"/>
  <c r="F20" i="32"/>
  <c r="E20" i="32"/>
  <c r="D20" i="32"/>
  <c r="H19" i="32"/>
  <c r="G19" i="32"/>
  <c r="F19" i="32"/>
  <c r="E19" i="32"/>
  <c r="D19" i="32"/>
  <c r="H18" i="32"/>
  <c r="G18" i="32"/>
  <c r="F18" i="32"/>
  <c r="E18" i="32"/>
  <c r="D18" i="32"/>
  <c r="H17" i="32"/>
  <c r="G17" i="32"/>
  <c r="F17" i="32"/>
  <c r="E17" i="32"/>
  <c r="D17" i="32"/>
  <c r="H16" i="32"/>
  <c r="G16" i="32"/>
  <c r="F16" i="32"/>
  <c r="E16" i="32"/>
  <c r="D16" i="32"/>
  <c r="H15" i="32"/>
  <c r="G15" i="32"/>
  <c r="F15" i="32"/>
  <c r="E15" i="32"/>
  <c r="D15" i="32"/>
  <c r="H14" i="32"/>
  <c r="G14" i="32"/>
  <c r="F14" i="32"/>
  <c r="E14" i="32"/>
  <c r="D14" i="32"/>
  <c r="H13" i="32"/>
  <c r="G13" i="32"/>
  <c r="F13" i="32"/>
  <c r="E13" i="32"/>
  <c r="D13" i="32"/>
  <c r="H12" i="32"/>
  <c r="G12" i="32"/>
  <c r="F12" i="32"/>
  <c r="E12" i="32"/>
  <c r="D12" i="32"/>
  <c r="H11" i="32"/>
  <c r="G11" i="32"/>
  <c r="F11" i="32"/>
  <c r="E11" i="32"/>
  <c r="D11" i="32"/>
  <c r="H10" i="32"/>
  <c r="G10" i="32"/>
  <c r="F10" i="32"/>
  <c r="E10" i="32"/>
  <c r="D10" i="32"/>
  <c r="H9" i="32"/>
  <c r="G9" i="32"/>
  <c r="F9" i="32"/>
  <c r="E9" i="32"/>
  <c r="D9" i="32"/>
  <c r="H8" i="32"/>
  <c r="G8" i="32"/>
  <c r="F8" i="32"/>
  <c r="E8" i="32"/>
  <c r="D8" i="32"/>
  <c r="H7" i="32"/>
  <c r="G7" i="32"/>
  <c r="F7" i="32"/>
  <c r="E7" i="32"/>
  <c r="D7" i="32"/>
  <c r="H6" i="32"/>
  <c r="G6" i="32"/>
  <c r="F6" i="32"/>
  <c r="E6" i="32"/>
  <c r="D6" i="32"/>
  <c r="H5" i="32"/>
  <c r="G5" i="32"/>
  <c r="F5" i="32"/>
  <c r="E5" i="32"/>
  <c r="D5" i="32"/>
  <c r="A20" i="54"/>
  <c r="E2" i="53"/>
  <c r="K3" i="12"/>
  <c r="H3" i="12"/>
  <c r="L3" i="12" l="1"/>
  <c r="M3" i="12"/>
  <c r="I3" i="12" l="1"/>
  <c r="J3" i="12"/>
  <c r="A15" i="54" l="1"/>
  <c r="A18" i="54" l="1"/>
  <c r="A17" i="54"/>
  <c r="A16" i="54"/>
  <c r="F3" i="50"/>
  <c r="F3" i="9"/>
  <c r="F33" i="38" l="1"/>
  <c r="E33" i="38"/>
  <c r="F42" i="38"/>
  <c r="E42" i="38"/>
  <c r="F24" i="38"/>
  <c r="E24" i="38"/>
  <c r="G24" i="38"/>
  <c r="G33" i="38"/>
  <c r="G42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P2" i="12"/>
  <c r="N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<sst xmlns="http://schemas.openxmlformats.org/spreadsheetml/2006/main" count="118" uniqueCount="96">
  <si>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</si>
  <si>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</si>
  <si>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</si>
  <si>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</si>
  <si>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</si>
  <si>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</si>
  <si>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</si>
  <si>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</si>
  <si>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</si>
  <si>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</si>
  <si>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</si>
  <si>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</si>
  <si>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</si>
  <si>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</si>
  <si>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Direção Regional das Comunidades e Cooperação Externa</t>
  </si>
  <si>
    <t>Gabinete da Unidade de Gestão e Planeamento da SRE</t>
  </si>
  <si>
    <t>Escola Básica e Secundaria Com Pré-Escolar da Calheta</t>
  </si>
  <si>
    <t>Escola Básica e Secundária da Ponta do Sol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</si>
  <si>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</si>
  <si>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</si>
  <si>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</si>
  <si>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</si>
  <si>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</si>
  <si>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</si>
  <si>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</si>
  <si>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Direção Regional do Trabalho e Ação Inspetiva</t>
  </si>
  <si>
    <t>Direção Regional de Planeamento, Recursos e Gestão de Obras Públicas</t>
  </si>
  <si>
    <t>Laboratório Regional de Engenharia Civil</t>
  </si>
  <si>
    <t>Direção Regional de Equipamento Social e Conservação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</si>
  <si>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</si>
  <si>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</si>
  <si>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</si>
  <si>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</si>
  <si>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</si>
  <si>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</si>
  <si>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</si>
  <si>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</si>
  <si>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</si>
  <si>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</si>
  <si>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</si>
  <si>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</si>
  <si>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</si>
  <si>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</si>
  <si>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</si>
  <si>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</si>
  <si>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</si>
  <si>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</si>
  <si>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</si>
  <si>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</si>
  <si>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</si>
  <si>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</si>
  <si>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</si>
  <si>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</si>
  <si>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</si>
  <si>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</si>
  <si>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</si>
  <si>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</si>
  <si>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</si>
  <si>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dos Assuntos Sociais</t>
  </si>
  <si>
    <t>Instituto das Florestas e Conservação da Natureza, IP-RAM</t>
  </si>
  <si>
    <t>Escola Básica e Secundária Professor Dr. Francisco de Freitas Branco - Porto Santo</t>
  </si>
  <si>
    <t>Escola Básica dos 2º e 3º Ciclos do Caniço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</si>
  <si>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</si>
  <si>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</si>
  <si>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</si>
  <si>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</si>
  <si>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Inclusão, Trabalho e Juventude</t>
  </si>
  <si>
    <t>Direção Regional de Pescas</t>
  </si>
  <si>
    <t>Conservatório -Escola Profissional das Artes da Madeira</t>
  </si>
  <si>
    <t>Escola Básica e Secundária com Pré-Escolar e Creche do Porto Moniz</t>
  </si>
  <si>
    <t>IMT-Instituto de Mobilidade e Transportes, IP-RAM</t>
  </si>
  <si>
    <t>Secretaria Regional de Equipamentos e Infraestruturas</t>
  </si>
  <si>
    <t>Secretaria Regional de Economia</t>
  </si>
  <si>
    <t>Gabinete da Secretaria Regional</t>
  </si>
  <si>
    <t>Direção Regional de Competitividade, Inovação e Sustentabilidade</t>
  </si>
  <si>
    <t>Gabinete para a Conformidade Digital, Proteção de Dados e Cibersegurança</t>
  </si>
  <si>
    <t>Secretaria Regional de Agricultura e Pescas</t>
  </si>
  <si>
    <t>Direção Regional de Veterinária e Bem-estar Animal</t>
  </si>
  <si>
    <t>Autoridade Regional para as Condições de Trabalho</t>
  </si>
  <si>
    <t>Direção Regional de Energia</t>
  </si>
  <si>
    <t>Direção Regional dos Transportes e da Mobilidade Terrestre</t>
  </si>
  <si>
    <t>Invest-Madeira- Agência para a Internacionalização e Investimento</t>
  </si>
  <si>
    <t>Secretaria Regional de Turismo, Ambiente e Cultura</t>
  </si>
  <si>
    <t>ARDITI-Agencia Regional Para Desenvolvimento da Inv. Tecnologica e Inovaçao</t>
  </si>
  <si>
    <t>Escola Básica e Secundária Bispo D. Manuel Ferreira Cabral - Santana</t>
  </si>
  <si>
    <t>Direção Regional do Arquivo e Biblioteca da Madeira</t>
  </si>
  <si>
    <t>Direção Regional de Juventude</t>
  </si>
  <si>
    <t>Instituto para a Qualificação</t>
  </si>
  <si>
    <t>Direção Regional do Ordenamento do Território</t>
  </si>
  <si>
    <t>Direção Regional da Saúde</t>
  </si>
  <si>
    <t>Direção Regional de Planeamento, Recursos e Infraestruturas</t>
  </si>
  <si>
    <t>Presidência do Governo Regional</t>
  </si>
  <si>
    <t>Secretaria Regional de Educação, Ciênciua e Tecnologia</t>
  </si>
  <si>
    <t>Serviço Regional de Proteção Civil,IP-RAM</t>
  </si>
  <si>
    <t>IHM-Investimentos Habitacionais da Madeira, EPERAM</t>
  </si>
  <si>
    <t>Instituto de Emprego da Madeira, IP-RAM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</si>
</sst>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2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167" fontId="26" fillId="0" borderId="125" xfId="56" applyNumberFormat="1" applyFont="1" applyBorder="1" applyAlignment="1">
      <alignment horizontal="center" vertical="center" wrapText="1"/>
    </xf>
    <xf numFmtId="0" fontId="71" fillId="0" borderId="125" xfId="0" applyFont="1" applyBorder="1" applyAlignment="1">
      <alignment vertical="center"/>
    </xf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8" fillId="0" borderId="21" xfId="62" applyFont="1" applyBorder="1" applyAlignment="1">
      <alignment horizontal="center" vertical="center"/>
    </xf>
    <xf numFmtId="0" fontId="65" fillId="0" borderId="25" xfId="62" applyFont="1" applyBorder="1" applyAlignment="1">
      <alignment horizont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25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03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2026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ugo.costa\Disco\Boletim%20mensal\2026\Fevereiro\Fevereiro_2026.xlsx" TargetMode="External"/><Relationship Id="rId1" Type="http://schemas.openxmlformats.org/officeDocument/2006/relationships/externalLinkPath" Target="Fevereiro_2026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ROC\DROC\Pagamentos%20em%20atraso\2026\Fevereiro\MPA_Fevereiro_2026.xlsx" TargetMode="External"/><Relationship Id="rId1" Type="http://schemas.openxmlformats.org/officeDocument/2006/relationships/externalLinkPath" Target="file:///O:\DROC\DROC\Pagamentos%20em%20atraso\2026\Fevereiro\MPA_Fevereiro_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solid"/>
      <sheetName val="ORG_n1"/>
      <sheetName val="CF"/>
      <sheetName val="Adm R"/>
      <sheetName val="Análise"/>
      <sheetName val="DGO_N_Covid"/>
      <sheetName val="DGO__N1"/>
      <sheetName val="DGO_N"/>
      <sheetName val="REC N1"/>
      <sheetName val="DOREC"/>
      <sheetName val="Desp_N1"/>
      <sheetName val="UKR"/>
      <sheetName val="DODES"/>
      <sheetName val="Síntese Global"/>
      <sheetName val="D_SFA"/>
      <sheetName val="R_SFA"/>
      <sheetName val="RAM_CP (REPORTE)"/>
      <sheetName val="Caderno_SIGO"/>
      <sheetName val="GOV mensal-acumulado"/>
      <sheetName val="COVID"/>
      <sheetName val="Consolidado_Q1"/>
      <sheetName val="GRF"/>
      <sheetName val="Global_Est_Q2_3"/>
      <sheetName val="R_Est_Q4_5"/>
      <sheetName val="D_Est ECO_Q6"/>
      <sheetName val="D_Est_Func_Q7"/>
      <sheetName val="D_Est_Org_Q8"/>
      <sheetName val="Saldo_Global EPR_Q9"/>
      <sheetName val="SFA acumulado_Q10_11"/>
      <sheetName val="SFA+EPR mensal-acumulado_Q12"/>
      <sheetName val="Gov+SFA+EPR_Q13_14"/>
      <sheetName val="Compromissos_Q15_16_17_18"/>
      <sheetName val="Orgânica"/>
      <sheetName val="Pagamentos_Atraso (SI)"/>
      <sheetName val="Pagamentos_Atraso (SFA_EPR)"/>
      <sheetName val="Gloss"/>
      <sheetName val="Gloss_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67">
          <cell r="M67">
            <v>108392.02048000001</v>
          </cell>
          <cell r="N67">
            <v>41645.766860000003</v>
          </cell>
          <cell r="O67">
            <v>32103.394760000003</v>
          </cell>
          <cell r="P67">
            <v>145467.69519</v>
          </cell>
          <cell r="R67">
            <v>-39.68891289933498</v>
          </cell>
        </row>
        <row r="68"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-100</v>
          </cell>
        </row>
        <row r="69">
          <cell r="M69">
            <v>53454.515039999998</v>
          </cell>
          <cell r="N69">
            <v>0</v>
          </cell>
          <cell r="O69">
            <v>0</v>
          </cell>
          <cell r="P69">
            <v>53454.515039999998</v>
          </cell>
          <cell r="R69">
            <v>-54.247072637833149</v>
          </cell>
        </row>
        <row r="70"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</row>
        <row r="71">
          <cell r="M71">
            <v>54937.505440000008</v>
          </cell>
          <cell r="N71">
            <v>41645.766860000003</v>
          </cell>
          <cell r="O71">
            <v>32103.394760000003</v>
          </cell>
          <cell r="P71">
            <v>63743.543780000015</v>
          </cell>
          <cell r="R71">
            <v>-28.680198782221844</v>
          </cell>
        </row>
        <row r="72">
          <cell r="M72">
            <v>53702.056700000001</v>
          </cell>
          <cell r="N72">
            <v>40464.844749999997</v>
          </cell>
          <cell r="O72">
            <v>28610.700140000004</v>
          </cell>
          <cell r="P72">
            <v>57834.478310000013</v>
          </cell>
          <cell r="R72">
            <v>-19.153122124525357</v>
          </cell>
        </row>
        <row r="73">
          <cell r="M73">
            <v>53590.59</v>
          </cell>
          <cell r="N73">
            <v>169.58905999999999</v>
          </cell>
          <cell r="O73">
            <v>0</v>
          </cell>
          <cell r="P73">
            <v>53760.179059999995</v>
          </cell>
          <cell r="R73">
            <v>-14.171112338517954</v>
          </cell>
        </row>
        <row r="74">
          <cell r="M74">
            <v>0</v>
          </cell>
          <cell r="N74">
            <v>36675.116869999991</v>
          </cell>
          <cell r="O74">
            <v>28268.006410000002</v>
          </cell>
          <cell r="P74">
            <v>0</v>
          </cell>
          <cell r="R74">
            <v>0</v>
          </cell>
        </row>
        <row r="75">
          <cell r="P75">
            <v>28269.636369999993</v>
          </cell>
        </row>
        <row r="76">
          <cell r="M76">
            <v>2317.85869</v>
          </cell>
          <cell r="N76">
            <v>818.22141999999997</v>
          </cell>
          <cell r="O76">
            <v>1452.5005000000003</v>
          </cell>
          <cell r="P76">
            <v>3913.5806100000009</v>
          </cell>
          <cell r="R76">
            <v>-91.693242209540315</v>
          </cell>
        </row>
        <row r="77">
          <cell r="M77">
            <v>333.9</v>
          </cell>
          <cell r="N77">
            <v>0</v>
          </cell>
          <cell r="O77">
            <v>17.928000000000001</v>
          </cell>
          <cell r="P77">
            <v>351.82799999999997</v>
          </cell>
          <cell r="R77">
            <v>-35.253705040975738</v>
          </cell>
        </row>
        <row r="78">
          <cell r="M78">
            <v>527.25738000000001</v>
          </cell>
          <cell r="N78">
            <v>802.798</v>
          </cell>
          <cell r="O78">
            <v>1430.3252600000001</v>
          </cell>
          <cell r="P78">
            <v>1581.5633700000003</v>
          </cell>
          <cell r="R78">
            <v>-96.051347144093683</v>
          </cell>
        </row>
        <row r="79"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-100</v>
          </cell>
        </row>
        <row r="80">
          <cell r="M80">
            <v>0</v>
          </cell>
          <cell r="N80">
            <v>668</v>
          </cell>
          <cell r="O80">
            <v>510.81727000000001</v>
          </cell>
          <cell r="P80">
            <v>0</v>
          </cell>
          <cell r="R80">
            <v>0</v>
          </cell>
        </row>
        <row r="81">
          <cell r="P81">
            <v>503.81727000000001</v>
          </cell>
        </row>
        <row r="82">
          <cell r="M82">
            <v>110709.87917</v>
          </cell>
          <cell r="N82">
            <v>42463.988280000005</v>
          </cell>
          <cell r="O82">
            <v>33555.895260000005</v>
          </cell>
          <cell r="P82">
            <v>149381.2758</v>
          </cell>
          <cell r="R82">
            <v>-48.187061064644574</v>
          </cell>
        </row>
        <row r="83">
          <cell r="M83">
            <v>75390.465059999988</v>
          </cell>
          <cell r="N83">
            <v>37248.812819999992</v>
          </cell>
          <cell r="O83">
            <v>21593.224099999996</v>
          </cell>
          <cell r="P83">
            <v>97559.015069999994</v>
          </cell>
          <cell r="R83">
            <v>-52.882273696668889</v>
          </cell>
        </row>
        <row r="84">
          <cell r="M84">
            <v>44909.536339999977</v>
          </cell>
          <cell r="N84">
            <v>4951.7706200000002</v>
          </cell>
          <cell r="O84">
            <v>20462.626889999996</v>
          </cell>
          <cell r="P84">
            <v>70323.933849999972</v>
          </cell>
          <cell r="R84">
            <v>-58.510215944227518</v>
          </cell>
        </row>
        <row r="85">
          <cell r="M85">
            <v>31742.183279999979</v>
          </cell>
          <cell r="N85">
            <v>4005.6411300000004</v>
          </cell>
          <cell r="O85">
            <v>17101.317029999995</v>
          </cell>
          <cell r="P85">
            <v>52849.141439999978</v>
          </cell>
          <cell r="R85">
            <v>-52.838629977281016</v>
          </cell>
        </row>
        <row r="86">
          <cell r="M86">
            <v>13167.353059999999</v>
          </cell>
          <cell r="N86">
            <v>946.12949000000003</v>
          </cell>
          <cell r="O86">
            <v>3361.3098599999998</v>
          </cell>
          <cell r="P86">
            <v>17474.792409999998</v>
          </cell>
          <cell r="R86">
            <v>-69.575591553901845</v>
          </cell>
        </row>
        <row r="87">
          <cell r="M87">
            <v>97.528619999999989</v>
          </cell>
          <cell r="N87">
            <v>2251.8731899999998</v>
          </cell>
          <cell r="O87">
            <v>0</v>
          </cell>
          <cell r="P87">
            <v>2344.0317700000001</v>
          </cell>
          <cell r="R87">
            <v>44.787869189392261</v>
          </cell>
        </row>
        <row r="88">
          <cell r="M88">
            <v>17212.138990000003</v>
          </cell>
          <cell r="N88">
            <v>0.78593000000000002</v>
          </cell>
          <cell r="O88">
            <v>0.41107000000000005</v>
          </cell>
          <cell r="P88">
            <v>17213.335990000003</v>
          </cell>
          <cell r="R88">
            <v>-8.7577451629372689</v>
          </cell>
        </row>
        <row r="89">
          <cell r="M89">
            <v>13171.261110000014</v>
          </cell>
          <cell r="N89">
            <v>30044.383079999992</v>
          </cell>
          <cell r="O89">
            <v>1130.18614</v>
          </cell>
          <cell r="P89">
            <v>7677.7134600000136</v>
          </cell>
          <cell r="R89">
            <v>-55.028191944525304</v>
          </cell>
        </row>
        <row r="90">
          <cell r="M90">
            <v>0</v>
          </cell>
          <cell r="N90">
            <v>416.59476000000001</v>
          </cell>
          <cell r="O90">
            <v>0</v>
          </cell>
          <cell r="P90">
            <v>416.59476000000001</v>
          </cell>
          <cell r="R90">
            <v>6.4252810789360071</v>
          </cell>
        </row>
        <row r="91">
          <cell r="M91">
            <v>9569.1208700000007</v>
          </cell>
          <cell r="N91">
            <v>27098.995999999999</v>
          </cell>
          <cell r="O91">
            <v>0</v>
          </cell>
          <cell r="P91">
            <v>0</v>
          </cell>
          <cell r="R91">
            <v>0</v>
          </cell>
        </row>
        <row r="92">
          <cell r="P92">
            <v>0</v>
          </cell>
        </row>
        <row r="93">
          <cell r="M93">
            <v>1464.7586099999999</v>
          </cell>
          <cell r="N93">
            <v>9.9990000000000009E-2</v>
          </cell>
          <cell r="O93">
            <v>192.59552000000002</v>
          </cell>
          <cell r="P93">
            <v>982.45411999999988</v>
          </cell>
          <cell r="R93">
            <v>-94.450658312263116</v>
          </cell>
        </row>
        <row r="94">
          <cell r="M94">
            <v>4.4256900000000003</v>
          </cell>
          <cell r="N94">
            <v>9.9990000000000009E-2</v>
          </cell>
          <cell r="O94">
            <v>174.83552000000003</v>
          </cell>
          <cell r="P94">
            <v>179.36120000000003</v>
          </cell>
          <cell r="R94">
            <v>-98.74197277952554</v>
          </cell>
        </row>
        <row r="95">
          <cell r="M95">
            <v>1460.3329199999998</v>
          </cell>
          <cell r="N95">
            <v>0</v>
          </cell>
          <cell r="O95">
            <v>17.760000000000002</v>
          </cell>
          <cell r="P95">
            <v>803.09291999999982</v>
          </cell>
          <cell r="R95">
            <v>-76.69923407058225</v>
          </cell>
        </row>
        <row r="96">
          <cell r="M96">
            <v>122.806</v>
          </cell>
          <cell r="N96">
            <v>0</v>
          </cell>
          <cell r="O96">
            <v>0</v>
          </cell>
          <cell r="P96">
            <v>122.806</v>
          </cell>
          <cell r="R96">
            <v>-85.682114517783944</v>
          </cell>
        </row>
        <row r="97">
          <cell r="M97">
            <v>675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</row>
        <row r="98">
          <cell r="M98">
            <v>0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</row>
        <row r="100">
          <cell r="M100">
            <v>76855.223670000007</v>
          </cell>
          <cell r="N100">
            <v>37248.912809999994</v>
          </cell>
          <cell r="O100">
            <v>21785.819619999995</v>
          </cell>
          <cell r="P100">
            <v>98541.469189999989</v>
          </cell>
          <cell r="R100">
            <v>-56.156580325352678</v>
          </cell>
        </row>
        <row r="101">
          <cell r="M101">
            <v>33854.655499999993</v>
          </cell>
          <cell r="N101">
            <v>5215.0754700000107</v>
          </cell>
          <cell r="O101">
            <v>11770.07564000001</v>
          </cell>
          <cell r="P101">
            <v>50839.806610000014</v>
          </cell>
          <cell r="R101">
            <v>-20.001699743757516</v>
          </cell>
        </row>
        <row r="103">
          <cell r="M103">
            <v>33001.555420000019</v>
          </cell>
          <cell r="N103">
            <v>4396.9540400000114</v>
          </cell>
          <cell r="O103">
            <v>10510.170660000007</v>
          </cell>
          <cell r="P103">
            <v>47908.680120000005</v>
          </cell>
          <cell r="R103">
            <v>40.322366665159933</v>
          </cell>
        </row>
        <row r="104">
          <cell r="M104">
            <v>58178.326069999981</v>
          </cell>
          <cell r="N104">
            <v>37248.026889999994</v>
          </cell>
          <cell r="O104">
            <v>21592.813029999998</v>
          </cell>
          <cell r="P104">
            <v>80345.679079999987</v>
          </cell>
          <cell r="R104">
            <v>-57.30567868271195</v>
          </cell>
        </row>
        <row r="105">
          <cell r="M105">
            <v>50213.694410000026</v>
          </cell>
          <cell r="N105">
            <v>4397.7399700000096</v>
          </cell>
          <cell r="O105">
            <v>10510.581730000005</v>
          </cell>
          <cell r="P105">
            <v>65122.016110000011</v>
          </cell>
          <cell r="R105">
            <v>22.854572424717645</v>
          </cell>
        </row>
        <row r="106">
          <cell r="M106">
            <v>853.10008000000016</v>
          </cell>
          <cell r="N106">
            <v>818.12142999999992</v>
          </cell>
          <cell r="O106">
            <v>1259.9049800000003</v>
          </cell>
          <cell r="P106">
            <v>2931.126490000001</v>
          </cell>
          <cell r="R106">
            <v>-90.033313865029129</v>
          </cell>
        </row>
        <row r="107">
          <cell r="M107">
            <v>59643.08468</v>
          </cell>
          <cell r="N107">
            <v>37248.126879999996</v>
          </cell>
          <cell r="O107">
            <v>21785.408549999996</v>
          </cell>
          <cell r="P107">
            <v>81328.133199999982</v>
          </cell>
          <cell r="R107">
            <v>-60.499650441226649</v>
          </cell>
        </row>
        <row r="108">
          <cell r="M108">
            <v>51066.79449</v>
          </cell>
          <cell r="N108">
            <v>5215.8614000000089</v>
          </cell>
          <cell r="O108">
            <v>11770.486710000008</v>
          </cell>
          <cell r="P108">
            <v>68053.142600000021</v>
          </cell>
          <cell r="R108">
            <v>-17.427909110341776</v>
          </cell>
        </row>
      </sheetData>
      <sheetData sheetId="21"/>
      <sheetData sheetId="22">
        <row r="6">
          <cell r="D6">
            <v>2025</v>
          </cell>
          <cell r="E6">
            <v>2026</v>
          </cell>
        </row>
        <row r="8">
          <cell r="D8">
            <v>217343.02557</v>
          </cell>
          <cell r="E8">
            <v>219638.53137000004</v>
          </cell>
          <cell r="F8">
            <v>1.0561672241287123</v>
          </cell>
        </row>
        <row r="9">
          <cell r="D9">
            <v>146693.13828000001</v>
          </cell>
          <cell r="E9">
            <v>160617.35809000002</v>
          </cell>
          <cell r="F9">
            <v>9.4920730262258104</v>
          </cell>
        </row>
        <row r="10">
          <cell r="D10">
            <v>29860.143929999998</v>
          </cell>
          <cell r="E10">
            <v>34587.738749999997</v>
          </cell>
          <cell r="F10">
            <v>15.83245824629218</v>
          </cell>
        </row>
        <row r="11">
          <cell r="D11">
            <v>116832.99435000001</v>
          </cell>
          <cell r="E11">
            <v>126029.61934000003</v>
          </cell>
          <cell r="F11">
            <v>7.8715991498509608</v>
          </cell>
        </row>
        <row r="12">
          <cell r="D12">
            <v>70649.887289999999</v>
          </cell>
          <cell r="E12">
            <v>59021.17328000001</v>
          </cell>
          <cell r="F12">
            <v>-16.459635614515623</v>
          </cell>
        </row>
        <row r="13">
          <cell r="D13">
            <v>33142.096460000001</v>
          </cell>
          <cell r="E13">
            <v>6109.4891299999999</v>
          </cell>
          <cell r="F13">
            <v>-81.565773494824953</v>
          </cell>
        </row>
        <row r="15">
          <cell r="D15">
            <v>250485.12203</v>
          </cell>
          <cell r="E15">
            <v>225748.02050000004</v>
          </cell>
          <cell r="F15">
            <v>-9.8756769781469309</v>
          </cell>
        </row>
        <row r="17">
          <cell r="D17">
            <v>190235.28023999999</v>
          </cell>
          <cell r="E17">
            <v>200987.64083999995</v>
          </cell>
          <cell r="F17">
            <v>5.652138019001951</v>
          </cell>
        </row>
        <row r="18">
          <cell r="D18">
            <v>62829.175060000001</v>
          </cell>
          <cell r="E18">
            <v>66999.488999999943</v>
          </cell>
          <cell r="F18">
            <v>6.6375436825605538</v>
          </cell>
        </row>
        <row r="19">
          <cell r="D19">
            <v>37061.557839999987</v>
          </cell>
          <cell r="E19">
            <v>47676.359369999998</v>
          </cell>
          <cell r="F19">
            <v>28.641002021085082</v>
          </cell>
        </row>
        <row r="20">
          <cell r="D20">
            <v>18864.496900000002</v>
          </cell>
          <cell r="E20">
            <v>18845.431550000001</v>
          </cell>
          <cell r="F20">
            <v>-0.10106471485068491</v>
          </cell>
        </row>
        <row r="21">
          <cell r="D21">
            <v>71342.566430000006</v>
          </cell>
          <cell r="E21">
            <v>66102.92336999999</v>
          </cell>
          <cell r="F21">
            <v>-7.3443433873956021</v>
          </cell>
        </row>
        <row r="22">
          <cell r="D22">
            <v>61439.325260000005</v>
          </cell>
          <cell r="E22">
            <v>57714.900059999985</v>
          </cell>
          <cell r="F22">
            <v>-6.0619565469492542</v>
          </cell>
        </row>
        <row r="23">
          <cell r="D23">
            <v>9903.2411699999993</v>
          </cell>
          <cell r="E23">
            <v>8388.0233099999987</v>
          </cell>
          <cell r="F23">
            <v>-15.300221755581067</v>
          </cell>
        </row>
        <row r="24">
          <cell r="D24">
            <v>20.881450000000001</v>
          </cell>
          <cell r="E24">
            <v>1200.9345800000001</v>
          </cell>
          <cell r="F24">
            <v>5651.2030055384084</v>
          </cell>
        </row>
        <row r="25">
          <cell r="D25">
            <v>116.60256000000001</v>
          </cell>
          <cell r="E25">
            <v>162.50296999999998</v>
          </cell>
          <cell r="F25">
            <v>39.364838988097659</v>
          </cell>
        </row>
        <row r="26">
          <cell r="D26">
            <v>8643.0912599999992</v>
          </cell>
          <cell r="E26">
            <v>6800.742760000001</v>
          </cell>
          <cell r="F26">
            <v>-21.315851523243069</v>
          </cell>
        </row>
        <row r="27">
          <cell r="D27">
            <v>5236.0409599999994</v>
          </cell>
          <cell r="E27">
            <v>1349.3788</v>
          </cell>
          <cell r="F27">
            <v>-74.229025129704112</v>
          </cell>
        </row>
        <row r="28">
          <cell r="D28">
            <v>3407.0502999999999</v>
          </cell>
          <cell r="E28">
            <v>5451.3639600000006</v>
          </cell>
          <cell r="F28">
            <v>60.002450213312095</v>
          </cell>
        </row>
        <row r="29">
          <cell r="D29">
            <v>1067.0502999999999</v>
          </cell>
          <cell r="E29">
            <v>2680.7208799999999</v>
          </cell>
          <cell r="F29">
            <v>151.22722705761856</v>
          </cell>
        </row>
        <row r="30">
          <cell r="D30">
            <v>2340</v>
          </cell>
          <cell r="E30">
            <v>2770.6430800000003</v>
          </cell>
          <cell r="F30">
            <v>18.403550427350446</v>
          </cell>
        </row>
        <row r="33">
          <cell r="D33">
            <v>198878.37149999998</v>
          </cell>
          <cell r="E33">
            <v>207788.38359999994</v>
          </cell>
          <cell r="F33">
            <v>4.4801312645502911</v>
          </cell>
        </row>
        <row r="35">
          <cell r="D35">
            <v>51606.750530000005</v>
          </cell>
          <cell r="E35">
            <v>17959.636900000092</v>
          </cell>
          <cell r="F35">
            <v>-65.199054938442984</v>
          </cell>
        </row>
        <row r="37">
          <cell r="D37">
            <v>27107.745330000005</v>
          </cell>
          <cell r="E37">
            <v>18650.890530000092</v>
          </cell>
          <cell r="F37">
            <v>-31.197189943498383</v>
          </cell>
        </row>
        <row r="38">
          <cell r="D38">
            <v>24499.0052</v>
          </cell>
          <cell r="E38">
            <v>-691.25363000000107</v>
          </cell>
          <cell r="F38">
            <v>-102.82155795452464</v>
          </cell>
        </row>
        <row r="39">
          <cell r="D39">
            <v>70471.247430000003</v>
          </cell>
          <cell r="E39">
            <v>36805.068450000093</v>
          </cell>
          <cell r="F39">
            <v>-47.772928971409165</v>
          </cell>
        </row>
        <row r="40">
          <cell r="D40">
            <v>608.14400000000001</v>
          </cell>
          <cell r="E40">
            <v>0</v>
          </cell>
          <cell r="F40">
            <v>-100</v>
          </cell>
        </row>
        <row r="54">
          <cell r="D54">
            <v>2025</v>
          </cell>
          <cell r="E54">
            <v>2026</v>
          </cell>
          <cell r="F54" t="str">
            <v>VH (%)</v>
          </cell>
        </row>
        <row r="56">
          <cell r="D56">
            <v>113700.88649000002</v>
          </cell>
          <cell r="E56">
            <v>111246.51089000003</v>
          </cell>
          <cell r="F56">
            <v>-2.1586248584049894</v>
          </cell>
        </row>
        <row r="57">
          <cell r="D57">
            <v>94564.480620000017</v>
          </cell>
          <cell r="E57">
            <v>107162.84305000002</v>
          </cell>
          <cell r="F57">
            <v>13.322510045421332</v>
          </cell>
        </row>
        <row r="58">
          <cell r="D58">
            <v>29860.143929999998</v>
          </cell>
          <cell r="E58">
            <v>34587.738749999997</v>
          </cell>
          <cell r="F58">
            <v>15.83245824629218</v>
          </cell>
        </row>
        <row r="59">
          <cell r="D59">
            <v>64704.336690000011</v>
          </cell>
          <cell r="E59">
            <v>72575.104300000035</v>
          </cell>
          <cell r="F59">
            <v>12.164204151738778</v>
          </cell>
        </row>
        <row r="60">
          <cell r="D60">
            <v>19136.405869999999</v>
          </cell>
          <cell r="E60">
            <v>4083.6678399999978</v>
          </cell>
          <cell r="F60">
            <v>-78.660215153557473</v>
          </cell>
        </row>
        <row r="61">
          <cell r="D61">
            <v>10475.395850000001</v>
          </cell>
          <cell r="E61">
            <v>3791.6304400000004</v>
          </cell>
          <cell r="F61">
            <v>-63.804418522284287</v>
          </cell>
        </row>
        <row r="63">
          <cell r="D63">
            <v>124176.28234000002</v>
          </cell>
          <cell r="E63">
            <v>115038.14133000003</v>
          </cell>
          <cell r="F63">
            <v>-7.3590067586170482</v>
          </cell>
        </row>
        <row r="65">
          <cell r="D65">
            <v>106271.06197000004</v>
          </cell>
          <cell r="E65">
            <v>125597.17577999989</v>
          </cell>
          <cell r="F65">
            <v>18.185678633244052</v>
          </cell>
        </row>
        <row r="66">
          <cell r="D66">
            <v>35110.117810000032</v>
          </cell>
          <cell r="E66">
            <v>35257.30571999996</v>
          </cell>
          <cell r="F66">
            <v>0.4192179325527734</v>
          </cell>
        </row>
        <row r="67">
          <cell r="D67">
            <v>34833.849839999988</v>
          </cell>
          <cell r="E67">
            <v>34529.273890000004</v>
          </cell>
          <cell r="F67">
            <v>-0.87436775262846878</v>
          </cell>
        </row>
        <row r="68">
          <cell r="D68">
            <v>301.80729000000656</v>
          </cell>
          <cell r="E68">
            <v>1633.2925599999987</v>
          </cell>
          <cell r="F68">
            <v>441.17067881294821</v>
          </cell>
        </row>
        <row r="69">
          <cell r="D69">
            <v>35912.452310000008</v>
          </cell>
          <cell r="E69">
            <v>52931.662259999917</v>
          </cell>
          <cell r="F69">
            <v>47.390832024191297</v>
          </cell>
        </row>
        <row r="70">
          <cell r="D70">
            <v>20.881450000000001</v>
          </cell>
          <cell r="E70">
            <v>1103.4059600000001</v>
          </cell>
          <cell r="F70">
            <v>5184.1443482133664</v>
          </cell>
        </row>
        <row r="71">
          <cell r="D71">
            <v>91.953270000000018</v>
          </cell>
          <cell r="E71">
            <v>142.23538999999997</v>
          </cell>
          <cell r="F71">
            <v>54.682253279301477</v>
          </cell>
        </row>
        <row r="72">
          <cell r="D72">
            <v>5754.4737799999994</v>
          </cell>
          <cell r="E72">
            <v>5335.9841500000011</v>
          </cell>
          <cell r="F72">
            <v>-7.2724222231141722</v>
          </cell>
        </row>
        <row r="73">
          <cell r="D73">
            <v>5113.359199999999</v>
          </cell>
          <cell r="E73">
            <v>1344.9531100000002</v>
          </cell>
          <cell r="F73">
            <v>-73.697269106383118</v>
          </cell>
        </row>
        <row r="74">
          <cell r="D74">
            <v>641.11458000000005</v>
          </cell>
          <cell r="E74">
            <v>3991.0310400000008</v>
          </cell>
          <cell r="F74">
            <v>522.5144715941417</v>
          </cell>
        </row>
        <row r="79">
          <cell r="D79">
            <v>112025.53575000004</v>
          </cell>
          <cell r="E79">
            <v>130933.15992999989</v>
          </cell>
          <cell r="F79">
            <v>16.877959166555321</v>
          </cell>
        </row>
        <row r="81">
          <cell r="D81">
            <v>12150.746589999981</v>
          </cell>
          <cell r="E81">
            <v>-15895.018599999865</v>
          </cell>
          <cell r="F81">
            <v>-230.81516005840666</v>
          </cell>
        </row>
        <row r="83">
          <cell r="D83">
            <v>7429.8245199999801</v>
          </cell>
          <cell r="E83">
            <v>-14350.664889999854</v>
          </cell>
          <cell r="F83">
            <v>-293.1494458768172</v>
          </cell>
        </row>
        <row r="84">
          <cell r="D84">
            <v>4720.9220700000014</v>
          </cell>
          <cell r="E84">
            <v>-1544.3537100000008</v>
          </cell>
          <cell r="F84">
            <v>-132.7129676597267</v>
          </cell>
        </row>
        <row r="85">
          <cell r="D85">
            <v>12452.553879999987</v>
          </cell>
          <cell r="E85">
            <v>-14261.726039999867</v>
          </cell>
          <cell r="F85">
            <v>-214.52852304381986</v>
          </cell>
        </row>
      </sheetData>
      <sheetData sheetId="23">
        <row r="165">
          <cell r="E165">
            <v>2025</v>
          </cell>
          <cell r="F165">
            <v>2026</v>
          </cell>
        </row>
        <row r="167">
          <cell r="E167">
            <v>146693.13828000001</v>
          </cell>
          <cell r="F167">
            <v>160617.35809000002</v>
          </cell>
          <cell r="G167">
            <v>9.4920730262258113E-2</v>
          </cell>
          <cell r="H167">
            <v>0.11930391913403084</v>
          </cell>
        </row>
        <row r="169">
          <cell r="E169">
            <v>29860.143929999998</v>
          </cell>
          <cell r="F169">
            <v>34587.738749999997</v>
          </cell>
          <cell r="G169">
            <v>0.1583245824629218</v>
          </cell>
          <cell r="H169">
            <v>7.1130553543000088E-2</v>
          </cell>
        </row>
        <row r="170">
          <cell r="E170">
            <v>27756.531489999998</v>
          </cell>
          <cell r="F170">
            <v>28884.474160000002</v>
          </cell>
          <cell r="G170">
            <v>4.0637018008045311E-2</v>
          </cell>
          <cell r="H170">
            <v>0.10790834057968685</v>
          </cell>
        </row>
        <row r="171">
          <cell r="E171">
            <v>2103.6124399999999</v>
          </cell>
          <cell r="F171">
            <v>5703.2645900000007</v>
          </cell>
          <cell r="G171">
            <v>1.7111764893346995</v>
          </cell>
          <cell r="H171">
            <v>2.6092210718768494E-2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E173">
            <v>116832.99435000001</v>
          </cell>
          <cell r="F173">
            <v>126029.61934000003</v>
          </cell>
          <cell r="G173">
            <v>7.8715991498509608E-2</v>
          </cell>
          <cell r="H173">
            <v>0.14654091808672928</v>
          </cell>
        </row>
        <row r="174">
          <cell r="E174">
            <v>3559.00218</v>
          </cell>
          <cell r="F174">
            <v>5190.03658</v>
          </cell>
          <cell r="G174">
            <v>0.45828418121396042</v>
          </cell>
          <cell r="H174">
            <v>8.3040585279999996E-2</v>
          </cell>
        </row>
        <row r="175">
          <cell r="E175">
            <v>100158.66703</v>
          </cell>
          <cell r="F175">
            <v>106915.47450000001</v>
          </cell>
          <cell r="G175">
            <v>6.7461036277331576E-2</v>
          </cell>
          <cell r="H175">
            <v>0.16467662361666244</v>
          </cell>
        </row>
        <row r="176">
          <cell r="E176">
            <v>729.65641000000005</v>
          </cell>
          <cell r="F176">
            <v>623.28184999999996</v>
          </cell>
          <cell r="G176">
            <v>-0.14578719318041777</v>
          </cell>
          <cell r="H176">
            <v>8.4489880710315837E-2</v>
          </cell>
        </row>
        <row r="177">
          <cell r="E177">
            <v>4565.9494600000007</v>
          </cell>
          <cell r="F177">
            <v>3125.6977700000002</v>
          </cell>
          <cell r="G177">
            <v>-0.31543312132938073</v>
          </cell>
          <cell r="H177">
            <v>5.9970242022126558E-2</v>
          </cell>
        </row>
        <row r="178">
          <cell r="E178">
            <v>1351.9340499999998</v>
          </cell>
          <cell r="F178">
            <v>1029.0435699999998</v>
          </cell>
          <cell r="G178">
            <v>-0.23883596984631028</v>
          </cell>
          <cell r="H178">
            <v>8.6308421365873148E-2</v>
          </cell>
        </row>
        <row r="179">
          <cell r="E179">
            <v>6467.7852199999998</v>
          </cell>
          <cell r="F179">
            <v>9146.0850699999992</v>
          </cell>
          <cell r="G179">
            <v>0.41409845239109533</v>
          </cell>
          <cell r="H179">
            <v>0.11898963608088162</v>
          </cell>
        </row>
        <row r="180">
          <cell r="E180">
            <v>3605.2310699999998</v>
          </cell>
          <cell r="F180">
            <v>4019.6852499999995</v>
          </cell>
          <cell r="G180">
            <v>0.11495911689233274</v>
          </cell>
          <cell r="H180">
            <v>9.1510178458820604E-2</v>
          </cell>
        </row>
        <row r="181">
          <cell r="E181">
            <v>0</v>
          </cell>
          <cell r="F181">
            <v>807.5723999999999</v>
          </cell>
          <cell r="G181">
            <v>0</v>
          </cell>
          <cell r="H181">
            <v>7.9995681115777789E-2</v>
          </cell>
        </row>
        <row r="183">
          <cell r="E183">
            <v>103791.98375</v>
          </cell>
          <cell r="F183">
            <v>65130.662410000012</v>
          </cell>
          <cell r="G183">
            <v>-0.37248850964369384</v>
          </cell>
          <cell r="H183">
            <v>0.10131856425895643</v>
          </cell>
        </row>
        <row r="185">
          <cell r="E185">
            <v>250485.12203000003</v>
          </cell>
          <cell r="F185">
            <v>225748.02050000004</v>
          </cell>
          <cell r="G185">
            <v>-9.8756769781469411E-2</v>
          </cell>
          <cell r="H185">
            <v>0.11349152621273374</v>
          </cell>
        </row>
        <row r="197">
          <cell r="E197">
            <v>2025</v>
          </cell>
          <cell r="F197">
            <v>2026</v>
          </cell>
        </row>
        <row r="199">
          <cell r="E199">
            <v>146693.13828000001</v>
          </cell>
          <cell r="F199">
            <v>160617.35809000002</v>
          </cell>
          <cell r="G199">
            <v>9.4920730262258113E-2</v>
          </cell>
          <cell r="H199">
            <v>0.11930391913403084</v>
          </cell>
        </row>
        <row r="201">
          <cell r="E201">
            <v>103791.98375</v>
          </cell>
          <cell r="F201">
            <v>65130.662410000012</v>
          </cell>
          <cell r="G201">
            <v>-0.37248850964369384</v>
          </cell>
          <cell r="H201">
            <v>0.10131856425895643</v>
          </cell>
        </row>
        <row r="202">
          <cell r="E202">
            <v>70649.887289999999</v>
          </cell>
          <cell r="F202">
            <v>59021.17328000001</v>
          </cell>
          <cell r="G202">
            <v>-0.16459635614515622</v>
          </cell>
          <cell r="H202">
            <v>0.14335693171782271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E204">
            <v>2601.9973000000005</v>
          </cell>
          <cell r="F204">
            <v>2554.2390900000014</v>
          </cell>
          <cell r="G204">
            <v>-1.8354442566100637E-2</v>
          </cell>
          <cell r="H204">
            <v>5.3016873604078509E-2</v>
          </cell>
        </row>
        <row r="205">
          <cell r="E205">
            <v>12.52552</v>
          </cell>
          <cell r="F205">
            <v>125.60726999999999</v>
          </cell>
          <cell r="G205">
            <v>9.0281082142697464</v>
          </cell>
          <cell r="H205">
            <v>2.0599710439939082E-2</v>
          </cell>
        </row>
        <row r="206">
          <cell r="E206">
            <v>62550.875059999998</v>
          </cell>
          <cell r="F206">
            <v>54215.602180000002</v>
          </cell>
          <cell r="G206">
            <v>-0.13325589565301277</v>
          </cell>
          <cell r="H206">
            <v>0.16023425091768964</v>
          </cell>
        </row>
        <row r="207">
          <cell r="E207">
            <v>1951.8114800000001</v>
          </cell>
          <cell r="F207">
            <v>1902.9137599999999</v>
          </cell>
          <cell r="G207">
            <v>-2.5052480990633508E-2</v>
          </cell>
          <cell r="H207">
            <v>0.11501946413369794</v>
          </cell>
        </row>
        <row r="208">
          <cell r="E208">
            <v>3532.6779299999994</v>
          </cell>
          <cell r="F208">
            <v>222.81098</v>
          </cell>
          <cell r="G208">
            <v>-0.93692858946810353</v>
          </cell>
          <cell r="H208">
            <v>8.785759096735983E-2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1">
          <cell r="E211">
            <v>33142.096460000001</v>
          </cell>
          <cell r="F211">
            <v>6109.4891299999999</v>
          </cell>
          <cell r="G211">
            <v>-0.81565773494824956</v>
          </cell>
          <cell r="H211">
            <v>2.6433970055734085E-2</v>
          </cell>
        </row>
        <row r="212">
          <cell r="E212">
            <v>19.8948</v>
          </cell>
          <cell r="F212">
            <v>333.9</v>
          </cell>
          <cell r="G212">
            <v>15.783280053079196</v>
          </cell>
          <cell r="H212">
            <v>3.6547423264366802E-2</v>
          </cell>
        </row>
        <row r="213">
          <cell r="E213">
            <v>31664.13967</v>
          </cell>
          <cell r="F213">
            <v>4040.3242700000001</v>
          </cell>
          <cell r="G213">
            <v>-0.87240063011003011</v>
          </cell>
          <cell r="H213">
            <v>1.85496385814959E-2</v>
          </cell>
        </row>
        <row r="214">
          <cell r="E214">
            <v>0</v>
          </cell>
          <cell r="F214">
            <v>0.32080999999999998</v>
          </cell>
          <cell r="G214">
            <v>0</v>
          </cell>
          <cell r="H214">
            <v>1.4339158807491171E-2</v>
          </cell>
        </row>
        <row r="216">
          <cell r="E216">
            <v>1458.0619900000002</v>
          </cell>
          <cell r="F216">
            <v>1734.9440500000001</v>
          </cell>
          <cell r="G216">
            <v>0.18989731705440027</v>
          </cell>
          <cell r="H216">
            <v>0.4177852837070285</v>
          </cell>
        </row>
        <row r="218">
          <cell r="E218">
            <v>250485.12203000003</v>
          </cell>
          <cell r="F218">
            <v>225748.02050000004</v>
          </cell>
          <cell r="G218">
            <v>-9.8756769781469411E-2</v>
          </cell>
          <cell r="H218">
            <v>0.11349152621273374</v>
          </cell>
        </row>
      </sheetData>
      <sheetData sheetId="24">
        <row r="6">
          <cell r="F6">
            <v>2025</v>
          </cell>
          <cell r="H6">
            <v>2026</v>
          </cell>
          <cell r="I6">
            <v>2025</v>
          </cell>
          <cell r="J6">
            <v>2026</v>
          </cell>
        </row>
        <row r="8">
          <cell r="F8">
            <v>190235.28023999999</v>
          </cell>
          <cell r="H8">
            <v>200987.64083999995</v>
          </cell>
          <cell r="I8">
            <v>11.823749311033065</v>
          </cell>
          <cell r="J8">
            <v>11.699153232893758</v>
          </cell>
          <cell r="L8">
            <v>5.6521380190019563</v>
          </cell>
        </row>
        <row r="9">
          <cell r="F9">
            <v>62829.175060000001</v>
          </cell>
          <cell r="H9">
            <v>66999.488999999943</v>
          </cell>
          <cell r="I9">
            <v>12.907842842338807</v>
          </cell>
          <cell r="J9">
            <v>12.541697883487156</v>
          </cell>
          <cell r="L9">
            <v>6.6375436825605556</v>
          </cell>
        </row>
        <row r="10">
          <cell r="F10">
            <v>55385.139079999943</v>
          </cell>
          <cell r="H10">
            <v>56084.412199999955</v>
          </cell>
          <cell r="I10">
            <v>14.514089721949089</v>
          </cell>
          <cell r="J10">
            <v>13.361327925556413</v>
          </cell>
          <cell r="L10">
            <v>1.262564528347508</v>
          </cell>
        </row>
        <row r="11">
          <cell r="F11">
            <v>891.21733999999992</v>
          </cell>
          <cell r="H11">
            <v>913.78484999999989</v>
          </cell>
          <cell r="I11">
            <v>6.1225094985671591</v>
          </cell>
          <cell r="J11">
            <v>5.7545050782239624</v>
          </cell>
          <cell r="L11">
            <v>2.5322117273885145</v>
          </cell>
        </row>
        <row r="12">
          <cell r="F12">
            <v>6552.8186399999968</v>
          </cell>
          <cell r="H12">
            <v>10001.291949999999</v>
          </cell>
          <cell r="I12">
            <v>7.2327033908101344</v>
          </cell>
          <cell r="J12">
            <v>10.145087095632167</v>
          </cell>
          <cell r="L12">
            <v>52.625801192630043</v>
          </cell>
        </row>
        <row r="13">
          <cell r="F13">
            <v>37061.557839999987</v>
          </cell>
          <cell r="H13">
            <v>47676.359369999998</v>
          </cell>
          <cell r="I13">
            <v>16.529312562566563</v>
          </cell>
          <cell r="J13">
            <v>20.200672299033997</v>
          </cell>
          <cell r="L13">
            <v>28.641002021085075</v>
          </cell>
        </row>
        <row r="14">
          <cell r="F14">
            <v>18864.496900000002</v>
          </cell>
          <cell r="H14">
            <v>18845.431550000001</v>
          </cell>
          <cell r="I14">
            <v>13.773291145124883</v>
          </cell>
          <cell r="J14">
            <v>14.470647798172621</v>
          </cell>
          <cell r="L14">
            <v>-0.10106471485068207</v>
          </cell>
        </row>
        <row r="15">
          <cell r="F15">
            <v>71342.566430000006</v>
          </cell>
          <cell r="H15">
            <v>66102.92336999999</v>
          </cell>
          <cell r="I15">
            <v>9.6018704532551187</v>
          </cell>
          <cell r="J15">
            <v>8.268246602845295</v>
          </cell>
          <cell r="L15">
            <v>-7.3443433873955977</v>
          </cell>
        </row>
        <row r="16">
          <cell r="F16">
            <v>61439.325260000005</v>
          </cell>
          <cell r="H16">
            <v>57714.900059999985</v>
          </cell>
          <cell r="I16">
            <v>9.7826976678665183</v>
          </cell>
          <cell r="J16">
            <v>8.7477775066818406</v>
          </cell>
          <cell r="L16">
            <v>-6.0619565469492587</v>
          </cell>
        </row>
        <row r="17"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</row>
        <row r="18">
          <cell r="F18">
            <v>61439.325260000005</v>
          </cell>
          <cell r="H18">
            <v>57714.900059999985</v>
          </cell>
          <cell r="I18">
            <v>9.7928305007966667</v>
          </cell>
          <cell r="J18">
            <v>8.7623387230997487</v>
          </cell>
          <cell r="L18">
            <v>-6.0619565469492587</v>
          </cell>
        </row>
        <row r="19"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 t="str">
            <v>-</v>
          </cell>
        </row>
        <row r="20"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 t="str">
            <v>-</v>
          </cell>
        </row>
        <row r="21">
          <cell r="F21">
            <v>9903.2411699999993</v>
          </cell>
          <cell r="H21">
            <v>8388.0233099999987</v>
          </cell>
          <cell r="I21">
            <v>8.6140426194496058</v>
          </cell>
          <cell r="J21">
            <v>6.0037571261672014</v>
          </cell>
          <cell r="L21">
            <v>-15.300221755581065</v>
          </cell>
        </row>
        <row r="27">
          <cell r="F27">
            <v>20.881450000000001</v>
          </cell>
          <cell r="H27">
            <v>1200.9345800000001</v>
          </cell>
          <cell r="I27">
            <v>0.18419649154748535</v>
          </cell>
          <cell r="J27">
            <v>10.141663191627751</v>
          </cell>
          <cell r="L27">
            <v>5651.2030055384084</v>
          </cell>
        </row>
        <row r="28">
          <cell r="F28">
            <v>116.60256000000001</v>
          </cell>
          <cell r="H28">
            <v>162.50296999999998</v>
          </cell>
          <cell r="I28">
            <v>1.7538813926896342</v>
          </cell>
          <cell r="J28">
            <v>2.6266192407576612</v>
          </cell>
          <cell r="L28">
            <v>39.364838988097652</v>
          </cell>
        </row>
        <row r="30">
          <cell r="F30">
            <v>171370.78333999999</v>
          </cell>
          <cell r="H30">
            <v>182142.20928999994</v>
          </cell>
          <cell r="I30">
            <v>11.642346588612996</v>
          </cell>
          <cell r="J30">
            <v>11.471824649829001</v>
          </cell>
          <cell r="L30">
            <v>6.285450611863876</v>
          </cell>
        </row>
        <row r="32">
          <cell r="F32">
            <v>8643.0912599999992</v>
          </cell>
          <cell r="H32">
            <v>6800.742760000001</v>
          </cell>
          <cell r="I32">
            <v>2.6213264672026204</v>
          </cell>
          <cell r="J32">
            <v>1.8420539577216404</v>
          </cell>
          <cell r="L32">
            <v>-21.315851523243069</v>
          </cell>
        </row>
        <row r="33">
          <cell r="F33">
            <v>5236.0409599999994</v>
          </cell>
          <cell r="H33">
            <v>1349.3788</v>
          </cell>
          <cell r="I33">
            <v>2.9642039116078358</v>
          </cell>
          <cell r="J33">
            <v>0.67933403396357028</v>
          </cell>
          <cell r="L33">
            <v>-74.229025129704098</v>
          </cell>
        </row>
        <row r="34">
          <cell r="F34">
            <v>3407.0502999999999</v>
          </cell>
          <cell r="H34">
            <v>5451.3639600000006</v>
          </cell>
          <cell r="I34">
            <v>2.2551352301628715</v>
          </cell>
          <cell r="J34">
            <v>3.2016218447314491</v>
          </cell>
          <cell r="L34">
            <v>60.002450213312109</v>
          </cell>
        </row>
        <row r="35">
          <cell r="F35">
            <v>1067.0502999999999</v>
          </cell>
          <cell r="H35">
            <v>2680.7208799999999</v>
          </cell>
          <cell r="I35">
            <v>1.0094265494839807</v>
          </cell>
          <cell r="J35">
            <v>2.7179480711408011</v>
          </cell>
          <cell r="L35">
            <v>151.22722705761856</v>
          </cell>
        </row>
        <row r="36">
          <cell r="F36">
            <v>857.71044999999992</v>
          </cell>
          <cell r="H36">
            <v>726.08228000000008</v>
          </cell>
          <cell r="I36">
            <v>7.8269928953817471</v>
          </cell>
          <cell r="J36">
            <v>7.3985218694781683</v>
          </cell>
          <cell r="L36">
            <v>-15.346457537039434</v>
          </cell>
        </row>
        <row r="37">
          <cell r="F37">
            <v>209.33985000000001</v>
          </cell>
          <cell r="H37">
            <v>1954.6386</v>
          </cell>
          <cell r="I37">
            <v>0.24546924586151148</v>
          </cell>
          <cell r="J37">
            <v>2.2788972626222863</v>
          </cell>
          <cell r="L37">
            <v>833.71548704176473</v>
          </cell>
        </row>
        <row r="38"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 t="str">
            <v>-</v>
          </cell>
        </row>
        <row r="46"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</row>
        <row r="48">
          <cell r="F48">
            <v>198878.37149999998</v>
          </cell>
          <cell r="H48">
            <v>207788.38359999994</v>
          </cell>
          <cell r="I48">
            <v>10.25861582886259</v>
          </cell>
          <cell r="J48">
            <v>9.9555518499369313</v>
          </cell>
          <cell r="L48">
            <v>4.4801312645502858</v>
          </cell>
        </row>
        <row r="51">
          <cell r="F51">
            <v>608.14400000000001</v>
          </cell>
          <cell r="H51">
            <v>0</v>
          </cell>
          <cell r="I51">
            <v>3.0833993343969555</v>
          </cell>
          <cell r="J51">
            <v>0</v>
          </cell>
          <cell r="L51">
            <v>-100</v>
          </cell>
        </row>
        <row r="52">
          <cell r="F52">
            <v>49952.632819999999</v>
          </cell>
          <cell r="H52">
            <v>44631.723090000007</v>
          </cell>
          <cell r="I52">
            <v>10.770311343630439</v>
          </cell>
          <cell r="J52">
            <v>19.02457173039285</v>
          </cell>
          <cell r="L52">
            <v>-10.651910479220247</v>
          </cell>
        </row>
      </sheetData>
      <sheetData sheetId="25">
        <row r="6">
          <cell r="D6">
            <v>2025</v>
          </cell>
          <cell r="E6">
            <v>2026</v>
          </cell>
        </row>
        <row r="8">
          <cell r="D8">
            <v>34980.190100000007</v>
          </cell>
          <cell r="E8">
            <v>42373.179259999983</v>
          </cell>
          <cell r="F8">
            <v>20.392467820323322</v>
          </cell>
        </row>
        <row r="9">
          <cell r="D9">
            <v>0</v>
          </cell>
          <cell r="E9">
            <v>0</v>
          </cell>
          <cell r="F9">
            <v>0</v>
          </cell>
        </row>
        <row r="10">
          <cell r="D10">
            <v>1415.7533599999995</v>
          </cell>
          <cell r="E10">
            <v>1695.9424899999999</v>
          </cell>
          <cell r="F10">
            <v>0.81618734436317164</v>
          </cell>
        </row>
        <row r="11">
          <cell r="D11">
            <v>38394.399569999958</v>
          </cell>
          <cell r="E11">
            <v>48446.659220000001</v>
          </cell>
          <cell r="F11">
            <v>23.315383844200618</v>
          </cell>
        </row>
        <row r="12">
          <cell r="D12">
            <v>3058.9550400000003</v>
          </cell>
          <cell r="E12">
            <v>6.7616399999999999</v>
          </cell>
          <cell r="F12">
            <v>3.2540991381964828E-3</v>
          </cell>
        </row>
        <row r="13">
          <cell r="D13">
            <v>3185.2092100000004</v>
          </cell>
          <cell r="E13">
            <v>3122.4351700000002</v>
          </cell>
          <cell r="F13">
            <v>1.5026995811328892</v>
          </cell>
        </row>
        <row r="14">
          <cell r="D14">
            <v>52631.154659999986</v>
          </cell>
          <cell r="E14">
            <v>42363.219109999998</v>
          </cell>
          <cell r="F14">
            <v>20.387674409918265</v>
          </cell>
        </row>
        <row r="15">
          <cell r="D15">
            <v>3279.9115599999996</v>
          </cell>
          <cell r="E15">
            <v>3551.5070800000008</v>
          </cell>
          <cell r="F15">
            <v>1.7091942381325695</v>
          </cell>
        </row>
        <row r="16">
          <cell r="D16">
            <v>60410.537179999992</v>
          </cell>
          <cell r="E16">
            <v>61716.174889999966</v>
          </cell>
          <cell r="F16">
            <v>29.701455789177224</v>
          </cell>
        </row>
        <row r="17">
          <cell r="D17">
            <v>1522.26082</v>
          </cell>
          <cell r="E17">
            <v>4512.5047400000003</v>
          </cell>
          <cell r="F17">
            <v>2.1716828736137299</v>
          </cell>
        </row>
        <row r="19">
          <cell r="D19">
            <v>198878.37149999995</v>
          </cell>
          <cell r="E19">
            <v>207788.38359999997</v>
          </cell>
          <cell r="F19">
            <v>100</v>
          </cell>
        </row>
        <row r="22">
          <cell r="D22">
            <v>608.14400000000001</v>
          </cell>
          <cell r="E22">
            <v>0</v>
          </cell>
          <cell r="F22">
            <v>0</v>
          </cell>
        </row>
        <row r="23">
          <cell r="D23">
            <v>49952.632819999999</v>
          </cell>
          <cell r="E23">
            <v>44631.723090000007</v>
          </cell>
          <cell r="F23">
            <v>21.479412042550781</v>
          </cell>
        </row>
      </sheetData>
      <sheetData sheetId="26">
        <row r="9">
          <cell r="D9">
            <v>2460</v>
          </cell>
          <cell r="E9">
            <v>316.19553000000002</v>
          </cell>
          <cell r="F9">
            <v>4307.2459500000004</v>
          </cell>
          <cell r="G9">
            <v>64617.172060000004</v>
          </cell>
          <cell r="H9">
            <v>3016.8862999999992</v>
          </cell>
          <cell r="I9">
            <v>41902.435319999997</v>
          </cell>
          <cell r="J9">
            <v>39487.101419999999</v>
          </cell>
          <cell r="K9">
            <v>3563.7365700000005</v>
          </cell>
          <cell r="L9">
            <v>3410.7171200000003</v>
          </cell>
          <cell r="M9">
            <v>37906.150569999998</v>
          </cell>
          <cell r="N9">
            <v>200987.64083999998</v>
          </cell>
        </row>
        <row r="10">
          <cell r="D10">
            <v>0</v>
          </cell>
          <cell r="E10">
            <v>252.49714000000003</v>
          </cell>
          <cell r="F10">
            <v>2555.8003100000005</v>
          </cell>
          <cell r="G10">
            <v>51764.593180000011</v>
          </cell>
          <cell r="H10">
            <v>595.53050999999971</v>
          </cell>
          <cell r="I10">
            <v>816.29222000000004</v>
          </cell>
          <cell r="J10">
            <v>4714.6722200000013</v>
          </cell>
          <cell r="K10">
            <v>3080.3519600000004</v>
          </cell>
          <cell r="L10">
            <v>1103.4891</v>
          </cell>
          <cell r="M10">
            <v>2116.2623599999997</v>
          </cell>
          <cell r="N10">
            <v>66999.489000000001</v>
          </cell>
        </row>
        <row r="11">
          <cell r="D11">
            <v>0</v>
          </cell>
          <cell r="E11">
            <v>211.68461000000002</v>
          </cell>
          <cell r="F11">
            <v>2280.9832400000005</v>
          </cell>
          <cell r="G11">
            <v>42972.164450000011</v>
          </cell>
          <cell r="H11">
            <v>532.43980999999974</v>
          </cell>
          <cell r="I11">
            <v>717.01372000000003</v>
          </cell>
          <cell r="J11">
            <v>3791.7362000000007</v>
          </cell>
          <cell r="K11">
            <v>2725.2031100000004</v>
          </cell>
          <cell r="L11">
            <v>987.84773000000007</v>
          </cell>
          <cell r="M11">
            <v>1865.3393299999998</v>
          </cell>
          <cell r="N11">
            <v>56084.412200000013</v>
          </cell>
        </row>
        <row r="12">
          <cell r="D12">
            <v>0</v>
          </cell>
          <cell r="E12">
            <v>4.32273</v>
          </cell>
          <cell r="F12">
            <v>2.3280600000000002</v>
          </cell>
          <cell r="G12">
            <v>422.63018000000005</v>
          </cell>
          <cell r="H12">
            <v>1.1212599999999999</v>
          </cell>
          <cell r="I12">
            <v>4.1330299999999998</v>
          </cell>
          <cell r="J12">
            <v>424.90665999999999</v>
          </cell>
          <cell r="K12">
            <v>25.298779999999997</v>
          </cell>
          <cell r="L12">
            <v>2.99472</v>
          </cell>
          <cell r="M12">
            <v>26.049429999999997</v>
          </cell>
          <cell r="N12">
            <v>913.78485000000001</v>
          </cell>
        </row>
        <row r="13">
          <cell r="D13">
            <v>0</v>
          </cell>
          <cell r="E13">
            <v>36.489800000000002</v>
          </cell>
          <cell r="F13">
            <v>272.48901000000001</v>
          </cell>
          <cell r="G13">
            <v>8369.7985499999995</v>
          </cell>
          <cell r="H13">
            <v>61.969439999999992</v>
          </cell>
          <cell r="I13">
            <v>95.145470000000003</v>
          </cell>
          <cell r="J13">
            <v>498.02936000000005</v>
          </cell>
          <cell r="K13">
            <v>329.85006999999996</v>
          </cell>
          <cell r="L13">
            <v>112.64664999999999</v>
          </cell>
          <cell r="M13">
            <v>224.87359999999998</v>
          </cell>
          <cell r="N13">
            <v>10001.291950000003</v>
          </cell>
        </row>
        <row r="14">
          <cell r="D14">
            <v>0</v>
          </cell>
          <cell r="E14">
            <v>63.046390000000002</v>
          </cell>
          <cell r="F14">
            <v>365.50015999999999</v>
          </cell>
          <cell r="G14">
            <v>1512.0447399999998</v>
          </cell>
          <cell r="H14">
            <v>187.52223999999998</v>
          </cell>
          <cell r="I14">
            <v>14.900360000000001</v>
          </cell>
          <cell r="J14">
            <v>14768.540730000001</v>
          </cell>
          <cell r="K14">
            <v>12.787979999999999</v>
          </cell>
          <cell r="L14">
            <v>25.668469999999999</v>
          </cell>
          <cell r="M14">
            <v>30726.348299999998</v>
          </cell>
          <cell r="N14">
            <v>47676.359369999998</v>
          </cell>
        </row>
        <row r="15">
          <cell r="D15">
            <v>0</v>
          </cell>
          <cell r="E15">
            <v>16.119139999999998</v>
          </cell>
          <cell r="F15">
            <v>29.301169999999999</v>
          </cell>
          <cell r="G15">
            <v>813.36765999999966</v>
          </cell>
          <cell r="H15">
            <v>3.5930000000000004</v>
          </cell>
          <cell r="I15">
            <v>1.6232199999999999</v>
          </cell>
          <cell r="J15">
            <v>54.826780000000007</v>
          </cell>
          <cell r="K15">
            <v>0.15547</v>
          </cell>
          <cell r="L15">
            <v>1.6520600000000001</v>
          </cell>
          <cell r="M15">
            <v>14.78604</v>
          </cell>
          <cell r="N15">
            <v>935.42453999999952</v>
          </cell>
        </row>
        <row r="16">
          <cell r="D16">
            <v>0</v>
          </cell>
          <cell r="E16">
            <v>46.927250000000001</v>
          </cell>
          <cell r="F16">
            <v>336.19898999999998</v>
          </cell>
          <cell r="G16">
            <v>698.67708000000005</v>
          </cell>
          <cell r="H16">
            <v>183.92923999999999</v>
          </cell>
          <cell r="I16">
            <v>13.277140000000001</v>
          </cell>
          <cell r="J16">
            <v>14713.713950000001</v>
          </cell>
          <cell r="K16">
            <v>12.63251</v>
          </cell>
          <cell r="L16">
            <v>24.01641</v>
          </cell>
          <cell r="M16">
            <v>30711.562259999999</v>
          </cell>
          <cell r="N16">
            <v>46740.934829999998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4.3879299999999999</v>
          </cell>
          <cell r="H17">
            <v>0</v>
          </cell>
          <cell r="I17">
            <v>0</v>
          </cell>
          <cell r="J17">
            <v>18841.04362</v>
          </cell>
          <cell r="K17">
            <v>0</v>
          </cell>
          <cell r="L17">
            <v>0</v>
          </cell>
          <cell r="M17">
            <v>0</v>
          </cell>
          <cell r="N17">
            <v>18845.431550000001</v>
          </cell>
        </row>
        <row r="18">
          <cell r="D18">
            <v>2460</v>
          </cell>
          <cell r="E18">
            <v>0.65200000000000002</v>
          </cell>
          <cell r="F18">
            <v>1381.0147199999999</v>
          </cell>
          <cell r="G18">
            <v>11330.168259999999</v>
          </cell>
          <cell r="H18">
            <v>2233.6735499999995</v>
          </cell>
          <cell r="I18">
            <v>41071.242739999994</v>
          </cell>
          <cell r="J18">
            <v>1021.2622100000001</v>
          </cell>
          <cell r="K18">
            <v>466.41771999999997</v>
          </cell>
          <cell r="L18">
            <v>2281.5595499999999</v>
          </cell>
          <cell r="M18">
            <v>3856.9326199999996</v>
          </cell>
          <cell r="N18">
            <v>66102.92336999999</v>
          </cell>
        </row>
        <row r="19">
          <cell r="D19">
            <v>2460</v>
          </cell>
          <cell r="E19">
            <v>0</v>
          </cell>
          <cell r="F19">
            <v>1262.8303899999999</v>
          </cell>
          <cell r="G19">
            <v>3208.4799800000001</v>
          </cell>
          <cell r="H19">
            <v>2231.8861399999996</v>
          </cell>
          <cell r="I19">
            <v>41065.533889999992</v>
          </cell>
          <cell r="J19">
            <v>997.79564000000005</v>
          </cell>
          <cell r="K19">
            <v>460.25356999999997</v>
          </cell>
          <cell r="L19">
            <v>2178.4356699999998</v>
          </cell>
          <cell r="M19">
            <v>3849.6847799999996</v>
          </cell>
          <cell r="N19">
            <v>57714.900059999985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D21">
            <v>2460</v>
          </cell>
          <cell r="E21">
            <v>0</v>
          </cell>
          <cell r="F21">
            <v>1262.8303899999999</v>
          </cell>
          <cell r="G21">
            <v>3208.4799800000001</v>
          </cell>
          <cell r="H21">
            <v>2231.8861399999996</v>
          </cell>
          <cell r="I21">
            <v>41065.533889999992</v>
          </cell>
          <cell r="J21">
            <v>997.79564000000005</v>
          </cell>
          <cell r="K21">
            <v>460.25356999999997</v>
          </cell>
          <cell r="L21">
            <v>2178.4356699999998</v>
          </cell>
          <cell r="M21">
            <v>3849.6847799999996</v>
          </cell>
          <cell r="N21">
            <v>57714.900059999985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D24">
            <v>0</v>
          </cell>
          <cell r="E24">
            <v>0.65200000000000002</v>
          </cell>
          <cell r="F24">
            <v>118.18432999999999</v>
          </cell>
          <cell r="G24">
            <v>8121.6882799999994</v>
          </cell>
          <cell r="H24">
            <v>1.7874099999999999</v>
          </cell>
          <cell r="I24">
            <v>5.70885</v>
          </cell>
          <cell r="J24">
            <v>23.466570000000001</v>
          </cell>
          <cell r="K24">
            <v>6.1641500000000002</v>
          </cell>
          <cell r="L24">
            <v>103.12388</v>
          </cell>
          <cell r="M24">
            <v>7.2478400000000001</v>
          </cell>
          <cell r="N24">
            <v>8388.0233100000005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2763.0904399999999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2763.0904399999999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D27">
            <v>0</v>
          </cell>
          <cell r="E27">
            <v>0</v>
          </cell>
          <cell r="F27">
            <v>91.124449999999996</v>
          </cell>
          <cell r="G27">
            <v>4336.3817499999996</v>
          </cell>
          <cell r="H27">
            <v>0</v>
          </cell>
          <cell r="I27">
            <v>0.19714999999999999</v>
          </cell>
          <cell r="J27">
            <v>0</v>
          </cell>
          <cell r="K27">
            <v>0</v>
          </cell>
          <cell r="L27">
            <v>86.913550000000001</v>
          </cell>
          <cell r="M27">
            <v>0</v>
          </cell>
          <cell r="N27">
            <v>4514.6169</v>
          </cell>
        </row>
        <row r="28">
          <cell r="D28">
            <v>0</v>
          </cell>
          <cell r="E28">
            <v>0.65200000000000002</v>
          </cell>
          <cell r="F28">
            <v>27.05988</v>
          </cell>
          <cell r="G28">
            <v>1022.21609</v>
          </cell>
          <cell r="H28">
            <v>1.7874099999999999</v>
          </cell>
          <cell r="I28">
            <v>5.5117000000000003</v>
          </cell>
          <cell r="J28">
            <v>18.188570000000002</v>
          </cell>
          <cell r="K28">
            <v>6.1641500000000002</v>
          </cell>
          <cell r="L28">
            <v>16.210329999999999</v>
          </cell>
          <cell r="M28">
            <v>7.2478400000000001</v>
          </cell>
          <cell r="N28">
            <v>1105.0379699999999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5.2779999999999996</v>
          </cell>
          <cell r="K29">
            <v>0</v>
          </cell>
          <cell r="L29">
            <v>0</v>
          </cell>
          <cell r="M29">
            <v>0</v>
          </cell>
          <cell r="N29">
            <v>5.2779999999999996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1200.9345800000001</v>
          </cell>
          <cell r="N30">
            <v>1200.9345800000001</v>
          </cell>
        </row>
        <row r="31">
          <cell r="D31">
            <v>0</v>
          </cell>
          <cell r="E31">
            <v>0</v>
          </cell>
          <cell r="F31">
            <v>4.9307600000000003</v>
          </cell>
          <cell r="G31">
            <v>5.9779499999999999</v>
          </cell>
          <cell r="H31">
            <v>0.16</v>
          </cell>
          <cell r="I31">
            <v>0</v>
          </cell>
          <cell r="J31">
            <v>141.58264000000003</v>
          </cell>
          <cell r="K31">
            <v>4.1789100000000001</v>
          </cell>
          <cell r="L31">
            <v>0</v>
          </cell>
          <cell r="M31">
            <v>5.6727100000000004</v>
          </cell>
          <cell r="N31">
            <v>162.50297000000003</v>
          </cell>
        </row>
        <row r="32">
          <cell r="D32">
            <v>50</v>
          </cell>
          <cell r="E32">
            <v>0</v>
          </cell>
          <cell r="F32">
            <v>285.89960000000002</v>
          </cell>
          <cell r="G32">
            <v>81.878560000000007</v>
          </cell>
          <cell r="H32">
            <v>35.577199999999998</v>
          </cell>
          <cell r="I32">
            <v>922.08957999999996</v>
          </cell>
          <cell r="J32">
            <v>906.89603999999997</v>
          </cell>
          <cell r="K32">
            <v>785.89264000000003</v>
          </cell>
          <cell r="L32">
            <v>2925.53206</v>
          </cell>
          <cell r="M32">
            <v>806.97708</v>
          </cell>
          <cell r="N32">
            <v>6800.7427600000001</v>
          </cell>
        </row>
        <row r="33">
          <cell r="D33">
            <v>0</v>
          </cell>
          <cell r="E33">
            <v>0</v>
          </cell>
          <cell r="F33">
            <v>285.89960000000002</v>
          </cell>
          <cell r="G33">
            <v>50.741660000000003</v>
          </cell>
          <cell r="H33">
            <v>0</v>
          </cell>
          <cell r="I33">
            <v>8.6559999999999998E-2</v>
          </cell>
          <cell r="J33">
            <v>106.89604000000001</v>
          </cell>
          <cell r="K33">
            <v>59.810360000000003</v>
          </cell>
          <cell r="L33">
            <v>154.88898</v>
          </cell>
          <cell r="M33">
            <v>691.05560000000003</v>
          </cell>
          <cell r="N33">
            <v>1349.3788</v>
          </cell>
        </row>
        <row r="34">
          <cell r="D34">
            <v>50</v>
          </cell>
          <cell r="E34">
            <v>0</v>
          </cell>
          <cell r="F34">
            <v>0</v>
          </cell>
          <cell r="G34">
            <v>31.136900000000001</v>
          </cell>
          <cell r="H34">
            <v>35.577199999999998</v>
          </cell>
          <cell r="I34">
            <v>922.00301999999999</v>
          </cell>
          <cell r="J34">
            <v>800</v>
          </cell>
          <cell r="K34">
            <v>726.08228000000008</v>
          </cell>
          <cell r="L34">
            <v>2770.6430799999998</v>
          </cell>
          <cell r="M34">
            <v>115.92148</v>
          </cell>
          <cell r="N34">
            <v>5451.3639599999997</v>
          </cell>
        </row>
        <row r="35">
          <cell r="D35">
            <v>50</v>
          </cell>
          <cell r="E35">
            <v>0</v>
          </cell>
          <cell r="F35">
            <v>0</v>
          </cell>
          <cell r="G35">
            <v>31.136900000000001</v>
          </cell>
          <cell r="H35">
            <v>35.577199999999998</v>
          </cell>
          <cell r="I35">
            <v>922.00301999999999</v>
          </cell>
          <cell r="J35">
            <v>800</v>
          </cell>
          <cell r="K35">
            <v>726.08228000000008</v>
          </cell>
          <cell r="L35">
            <v>0</v>
          </cell>
          <cell r="M35">
            <v>115.92148</v>
          </cell>
          <cell r="N35">
            <v>2680.7208799999999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726.08228000000008</v>
          </cell>
          <cell r="L36">
            <v>0</v>
          </cell>
          <cell r="M36">
            <v>0</v>
          </cell>
          <cell r="N36">
            <v>726.08228000000008</v>
          </cell>
        </row>
        <row r="37">
          <cell r="D37">
            <v>50</v>
          </cell>
          <cell r="E37">
            <v>0</v>
          </cell>
          <cell r="F37">
            <v>0</v>
          </cell>
          <cell r="G37">
            <v>31.136900000000001</v>
          </cell>
          <cell r="H37">
            <v>35.577199999999998</v>
          </cell>
          <cell r="I37">
            <v>922.00301999999999</v>
          </cell>
          <cell r="J37">
            <v>800</v>
          </cell>
          <cell r="K37">
            <v>0</v>
          </cell>
          <cell r="L37">
            <v>0</v>
          </cell>
          <cell r="M37">
            <v>115.92148</v>
          </cell>
          <cell r="N37">
            <v>1954.6386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2770.6430799999998</v>
          </cell>
          <cell r="M40">
            <v>0</v>
          </cell>
          <cell r="N40">
            <v>2770.6430799999998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8">
          <cell r="D48">
            <v>2510</v>
          </cell>
          <cell r="E48">
            <v>316.19553000000002</v>
          </cell>
          <cell r="F48">
            <v>4593.1455500000002</v>
          </cell>
          <cell r="G48">
            <v>64699.050620000002</v>
          </cell>
          <cell r="H48">
            <v>3052.4634999999994</v>
          </cell>
          <cell r="I48">
            <v>42824.524899999997</v>
          </cell>
          <cell r="J48">
            <v>40393.997459999999</v>
          </cell>
          <cell r="K48">
            <v>4349.629210000001</v>
          </cell>
          <cell r="L48">
            <v>6336.2491800000007</v>
          </cell>
          <cell r="M48">
            <v>38713.127649999995</v>
          </cell>
          <cell r="N48">
            <v>207788.3836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44631.723090000007</v>
          </cell>
          <cell r="K51">
            <v>0</v>
          </cell>
          <cell r="L51">
            <v>0</v>
          </cell>
          <cell r="M51">
            <v>0</v>
          </cell>
          <cell r="N51">
            <v>44631.723090000007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9155.3003500000013</v>
          </cell>
        </row>
      </sheetData>
      <sheetData sheetId="27">
        <row r="3">
          <cell r="C3">
            <v>2025</v>
          </cell>
          <cell r="D3">
            <v>2026</v>
          </cell>
        </row>
        <row r="5">
          <cell r="C5">
            <v>5023.4623599999613</v>
          </cell>
          <cell r="D5">
            <v>11770.07564000001</v>
          </cell>
        </row>
      </sheetData>
      <sheetData sheetId="28">
        <row r="7">
          <cell r="D7">
            <v>41645.766860000003</v>
          </cell>
          <cell r="E7">
            <v>32103.394760000003</v>
          </cell>
          <cell r="F7">
            <v>73749.161619999999</v>
          </cell>
        </row>
        <row r="8">
          <cell r="D8">
            <v>0</v>
          </cell>
          <cell r="E8">
            <v>0</v>
          </cell>
          <cell r="F8">
            <v>0</v>
          </cell>
        </row>
        <row r="9">
          <cell r="D9">
            <v>0</v>
          </cell>
          <cell r="E9">
            <v>0</v>
          </cell>
          <cell r="F9">
            <v>0</v>
          </cell>
        </row>
        <row r="10">
          <cell r="D10">
            <v>0</v>
          </cell>
          <cell r="E10">
            <v>0</v>
          </cell>
          <cell r="F10">
            <v>0</v>
          </cell>
        </row>
        <row r="11">
          <cell r="D11">
            <v>896.81236000000001</v>
          </cell>
          <cell r="E11">
            <v>1050.3433200000002</v>
          </cell>
          <cell r="F11">
            <v>1947.1556800000003</v>
          </cell>
        </row>
        <row r="12">
          <cell r="D12">
            <v>40464.844749999997</v>
          </cell>
          <cell r="E12">
            <v>28610.700140000004</v>
          </cell>
          <cell r="F12">
            <v>69075.544890000005</v>
          </cell>
        </row>
        <row r="13">
          <cell r="D13">
            <v>3620.1388199999997</v>
          </cell>
          <cell r="E13">
            <v>342.32373000000001</v>
          </cell>
          <cell r="F13">
            <v>3962.4625499999997</v>
          </cell>
        </row>
        <row r="14">
          <cell r="D14">
            <v>36675.116869999998</v>
          </cell>
          <cell r="E14">
            <v>28268.376410000004</v>
          </cell>
          <cell r="F14">
            <v>64943.493280000002</v>
          </cell>
        </row>
        <row r="15">
          <cell r="D15">
            <v>259.14598000000007</v>
          </cell>
          <cell r="E15">
            <v>605.95380000000011</v>
          </cell>
          <cell r="F15">
            <v>865.09978000000024</v>
          </cell>
        </row>
        <row r="16">
          <cell r="D16">
            <v>24.963770000000004</v>
          </cell>
          <cell r="E16">
            <v>1836.3974999999998</v>
          </cell>
          <cell r="F16">
            <v>1861.3612699999999</v>
          </cell>
        </row>
        <row r="17">
          <cell r="D17">
            <v>818.22141999999997</v>
          </cell>
          <cell r="E17">
            <v>1452.5005000000003</v>
          </cell>
          <cell r="F17">
            <v>2270.7219200000004</v>
          </cell>
        </row>
        <row r="18">
          <cell r="D18">
            <v>0</v>
          </cell>
          <cell r="E18">
            <v>17.928000000000001</v>
          </cell>
          <cell r="F18">
            <v>17.928000000000001</v>
          </cell>
        </row>
        <row r="19">
          <cell r="D19">
            <v>802.798</v>
          </cell>
          <cell r="E19">
            <v>1430.3252600000001</v>
          </cell>
          <cell r="F19">
            <v>2233.1232600000003</v>
          </cell>
        </row>
        <row r="20">
          <cell r="D20">
            <v>134.798</v>
          </cell>
          <cell r="E20">
            <v>919.50798999999995</v>
          </cell>
          <cell r="F20">
            <v>1054.3059899999998</v>
          </cell>
        </row>
        <row r="21">
          <cell r="D21">
            <v>668</v>
          </cell>
          <cell r="E21">
            <v>510.81727000000012</v>
          </cell>
          <cell r="F21">
            <v>1178.81727</v>
          </cell>
        </row>
        <row r="22">
          <cell r="D22">
            <v>0</v>
          </cell>
          <cell r="E22">
            <v>1.69953</v>
          </cell>
          <cell r="F22">
            <v>1.69953</v>
          </cell>
        </row>
        <row r="32">
          <cell r="D32">
            <v>42463.988280000005</v>
          </cell>
          <cell r="E32">
            <v>33555.895260000005</v>
          </cell>
          <cell r="F32">
            <v>76019.88354000001</v>
          </cell>
        </row>
        <row r="34">
          <cell r="D34">
            <v>37248.812819999992</v>
          </cell>
          <cell r="E34">
            <v>21593.224099999996</v>
          </cell>
          <cell r="F34">
            <v>58842.036919999984</v>
          </cell>
        </row>
        <row r="35">
          <cell r="D35">
            <v>4005.6411300000004</v>
          </cell>
          <cell r="E35">
            <v>17101.317029999995</v>
          </cell>
          <cell r="F35">
            <v>21106.958159999995</v>
          </cell>
        </row>
        <row r="36">
          <cell r="D36">
            <v>944.48815999999999</v>
          </cell>
          <cell r="E36">
            <v>3312.1797099999999</v>
          </cell>
          <cell r="F36">
            <v>4256.6678700000002</v>
          </cell>
        </row>
        <row r="37">
          <cell r="D37">
            <v>0.78593000000000002</v>
          </cell>
          <cell r="E37">
            <v>0.41107000000000005</v>
          </cell>
          <cell r="F37">
            <v>1.1970000000000001</v>
          </cell>
        </row>
        <row r="38">
          <cell r="D38">
            <v>30044.383079999992</v>
          </cell>
          <cell r="E38">
            <v>1130.18614</v>
          </cell>
          <cell r="F38">
            <v>31174.569219999994</v>
          </cell>
        </row>
        <row r="39">
          <cell r="D39">
            <v>416.59476000000001</v>
          </cell>
          <cell r="E39">
            <v>0</v>
          </cell>
          <cell r="F39">
            <v>416.59476000000001</v>
          </cell>
        </row>
        <row r="40">
          <cell r="D40">
            <v>29627.788319999992</v>
          </cell>
          <cell r="E40">
            <v>1130.18614</v>
          </cell>
          <cell r="F40">
            <v>30757.974459999994</v>
          </cell>
        </row>
        <row r="41">
          <cell r="D41">
            <v>2251.8731899999998</v>
          </cell>
          <cell r="E41">
            <v>0</v>
          </cell>
          <cell r="F41">
            <v>2251.8731899999998</v>
          </cell>
        </row>
        <row r="42">
          <cell r="D42">
            <v>1.6413300000000002</v>
          </cell>
          <cell r="E42">
            <v>49.13015</v>
          </cell>
          <cell r="F42">
            <v>50.771480000000004</v>
          </cell>
        </row>
        <row r="43">
          <cell r="D43">
            <v>9.9990000000000009E-2</v>
          </cell>
          <cell r="E43">
            <v>192.59552000000002</v>
          </cell>
          <cell r="F43">
            <v>192.69551000000001</v>
          </cell>
        </row>
        <row r="44">
          <cell r="D44">
            <v>9.9990000000000009E-2</v>
          </cell>
          <cell r="E44">
            <v>174.83552000000003</v>
          </cell>
          <cell r="F44">
            <v>174.93551000000002</v>
          </cell>
        </row>
        <row r="45">
          <cell r="D45">
            <v>0</v>
          </cell>
          <cell r="E45">
            <v>17.760000000000002</v>
          </cell>
          <cell r="F45">
            <v>17.760000000000002</v>
          </cell>
        </row>
        <row r="46">
          <cell r="D46">
            <v>0</v>
          </cell>
          <cell r="E46">
            <v>0</v>
          </cell>
          <cell r="F46">
            <v>0</v>
          </cell>
        </row>
        <row r="48">
          <cell r="D48">
            <v>37248.912809999994</v>
          </cell>
          <cell r="E48">
            <v>21785.819619999995</v>
          </cell>
          <cell r="F48">
            <v>59034.732429999989</v>
          </cell>
        </row>
        <row r="50">
          <cell r="D50">
            <v>354.31900000000002</v>
          </cell>
          <cell r="E50">
            <v>0</v>
          </cell>
          <cell r="F50">
            <v>354.31900000000002</v>
          </cell>
        </row>
        <row r="51">
          <cell r="D51">
            <v>0</v>
          </cell>
          <cell r="E51">
            <v>0</v>
          </cell>
          <cell r="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</row>
        <row r="56">
          <cell r="D56">
            <v>5215.0754700000107</v>
          </cell>
          <cell r="E56">
            <v>11770.07564000001</v>
          </cell>
          <cell r="F56">
            <v>16985.151110000021</v>
          </cell>
        </row>
        <row r="84">
          <cell r="D84">
            <v>5215.0754700000107</v>
          </cell>
          <cell r="E84">
            <v>11770.07564000001</v>
          </cell>
          <cell r="F84">
            <v>16985.151110000021</v>
          </cell>
        </row>
        <row r="87">
          <cell r="D87">
            <v>37248.126879999996</v>
          </cell>
          <cell r="E87">
            <v>21785.408549999996</v>
          </cell>
          <cell r="F87">
            <v>59033.535429999989</v>
          </cell>
        </row>
        <row r="88">
          <cell r="D88">
            <v>5215.8614000000107</v>
          </cell>
          <cell r="E88">
            <v>11770.48671000001</v>
          </cell>
          <cell r="F88">
            <v>16986.348110000021</v>
          </cell>
        </row>
        <row r="89">
          <cell r="D89">
            <v>4396.9540400000114</v>
          </cell>
          <cell r="E89">
            <v>10510.170660000007</v>
          </cell>
          <cell r="F89">
            <v>14907.124700000015</v>
          </cell>
        </row>
        <row r="90">
          <cell r="D90">
            <v>818.12142999999992</v>
          </cell>
          <cell r="E90">
            <v>1259.9049800000003</v>
          </cell>
          <cell r="F90">
            <v>2078.0264100000004</v>
          </cell>
        </row>
      </sheetData>
      <sheetData sheetId="29">
        <row r="6">
          <cell r="D6">
            <v>48770.31155000002</v>
          </cell>
          <cell r="E6">
            <v>39359.42445999998</v>
          </cell>
          <cell r="F6">
            <v>88129.736009999993</v>
          </cell>
        </row>
        <row r="7">
          <cell r="D7">
            <v>0</v>
          </cell>
          <cell r="E7">
            <v>0</v>
          </cell>
          <cell r="F7">
            <v>0</v>
          </cell>
        </row>
        <row r="8">
          <cell r="D8">
            <v>0</v>
          </cell>
          <cell r="E8">
            <v>0</v>
          </cell>
          <cell r="F8">
            <v>0</v>
          </cell>
        </row>
        <row r="9">
          <cell r="D9">
            <v>0</v>
          </cell>
          <cell r="E9">
            <v>0</v>
          </cell>
          <cell r="F9">
            <v>0</v>
          </cell>
        </row>
        <row r="10">
          <cell r="D10">
            <v>48770.31155000002</v>
          </cell>
          <cell r="E10">
            <v>39359.42445999998</v>
          </cell>
          <cell r="F10">
            <v>88129.736009999993</v>
          </cell>
        </row>
        <row r="11">
          <cell r="D11">
            <v>47405.899590000015</v>
          </cell>
          <cell r="E11">
            <v>35185.628819999976</v>
          </cell>
          <cell r="F11">
            <v>82591.528409999999</v>
          </cell>
        </row>
        <row r="12">
          <cell r="D12">
            <v>1938.5974299999998</v>
          </cell>
          <cell r="E12">
            <v>2834.2437200000008</v>
          </cell>
          <cell r="F12">
            <v>4772.8411500000002</v>
          </cell>
        </row>
        <row r="13">
          <cell r="D13">
            <v>0</v>
          </cell>
          <cell r="E13">
            <v>0.4</v>
          </cell>
          <cell r="F13">
            <v>0.4</v>
          </cell>
        </row>
        <row r="14">
          <cell r="D14">
            <v>1933.7798199999997</v>
          </cell>
          <cell r="E14">
            <v>2827.9777200000008</v>
          </cell>
          <cell r="F14">
            <v>4761.7575400000005</v>
          </cell>
        </row>
        <row r="16">
          <cell r="D16">
            <v>50708.908980000022</v>
          </cell>
          <cell r="E16">
            <v>42193.668179999979</v>
          </cell>
          <cell r="F16">
            <v>92902.577160000001</v>
          </cell>
        </row>
        <row r="17">
          <cell r="D17">
            <v>49851.315069999968</v>
          </cell>
          <cell r="E17">
            <v>31758.472130000002</v>
          </cell>
          <cell r="F17">
            <v>81609.787199999962</v>
          </cell>
        </row>
        <row r="18">
          <cell r="D18">
            <v>13051.912439999987</v>
          </cell>
          <cell r="E18">
            <v>30514.195600000003</v>
          </cell>
          <cell r="F18">
            <v>43566.108039999992</v>
          </cell>
        </row>
        <row r="19">
          <cell r="D19">
            <v>5106.1257100000012</v>
          </cell>
          <cell r="E19">
            <v>25484.755100000009</v>
          </cell>
          <cell r="F19">
            <v>30590.88081000001</v>
          </cell>
        </row>
        <row r="20">
          <cell r="D20">
            <v>7945.7867299999862</v>
          </cell>
          <cell r="E20">
            <v>5029.4404999999942</v>
          </cell>
          <cell r="F20">
            <v>12975.22722999998</v>
          </cell>
        </row>
        <row r="21">
          <cell r="D21">
            <v>1775.9651599999997</v>
          </cell>
          <cell r="E21">
            <v>0</v>
          </cell>
          <cell r="F21">
            <v>1775.9651599999997</v>
          </cell>
        </row>
        <row r="22">
          <cell r="D22">
            <v>24.034549999999999</v>
          </cell>
          <cell r="E22">
            <v>1.0350499999999998</v>
          </cell>
          <cell r="F22">
            <v>25.069599999999998</v>
          </cell>
        </row>
        <row r="23">
          <cell r="D23">
            <v>34999.402919999986</v>
          </cell>
          <cell r="E23">
            <v>1243.2414799999999</v>
          </cell>
          <cell r="F23">
            <v>36242.644399999983</v>
          </cell>
        </row>
        <row r="24">
          <cell r="D24">
            <v>1880.48315</v>
          </cell>
          <cell r="E24">
            <v>2888.3405400000001</v>
          </cell>
          <cell r="F24">
            <v>4768.8236900000002</v>
          </cell>
        </row>
        <row r="25">
          <cell r="D25">
            <v>176.45880999999997</v>
          </cell>
          <cell r="E25">
            <v>2847.3405400000001</v>
          </cell>
          <cell r="F25">
            <v>3023.7993500000002</v>
          </cell>
        </row>
        <row r="26">
          <cell r="D26">
            <v>1704.0243400000002</v>
          </cell>
          <cell r="E26">
            <v>41</v>
          </cell>
          <cell r="F26">
            <v>1745.0243400000002</v>
          </cell>
        </row>
        <row r="27">
          <cell r="D27">
            <v>0</v>
          </cell>
          <cell r="E27">
            <v>0</v>
          </cell>
          <cell r="F27">
            <v>0</v>
          </cell>
        </row>
        <row r="29">
          <cell r="D29">
            <v>51731.798219999968</v>
          </cell>
          <cell r="E29">
            <v>34646.812669999999</v>
          </cell>
          <cell r="F29">
            <v>86378.610889999967</v>
          </cell>
        </row>
        <row r="31">
          <cell r="D31">
            <v>-1022.8892399999459</v>
          </cell>
          <cell r="E31">
            <v>7546.8555099999794</v>
          </cell>
          <cell r="F31">
            <v>6523.9662700000335</v>
          </cell>
        </row>
      </sheetData>
      <sheetData sheetId="30"/>
      <sheetData sheetId="31">
        <row r="5">
          <cell r="B5">
            <v>27948155.879999999</v>
          </cell>
          <cell r="C5">
            <v>21710191.710000001</v>
          </cell>
          <cell r="D5">
            <v>1211610.7399999998</v>
          </cell>
          <cell r="E5">
            <v>2.5231146788130729</v>
          </cell>
          <cell r="F5">
            <v>2.7732602271633802</v>
          </cell>
          <cell r="G5">
            <v>4.636960455199679E-3</v>
          </cell>
        </row>
        <row r="6">
          <cell r="B6">
            <v>24065190.810000002</v>
          </cell>
          <cell r="C6">
            <v>19424795.129999999</v>
          </cell>
          <cell r="D6">
            <v>12202.55</v>
          </cell>
          <cell r="E6">
            <v>0.21404389423354253</v>
          </cell>
          <cell r="F6">
            <v>0.27565414362775953</v>
          </cell>
          <cell r="G6">
            <v>18.369126984126982</v>
          </cell>
        </row>
        <row r="7">
          <cell r="B7">
            <v>52013346.689999998</v>
          </cell>
          <cell r="C7">
            <v>41134986.840000004</v>
          </cell>
          <cell r="D7">
            <v>1223813.2899999998</v>
          </cell>
          <cell r="E7">
            <v>0.87400788219402537</v>
          </cell>
          <cell r="F7">
            <v>0.9605811831755906</v>
          </cell>
          <cell r="G7">
            <v>1.4225195062608442E-2</v>
          </cell>
        </row>
        <row r="13">
          <cell r="B13">
            <v>108628335.71000004</v>
          </cell>
          <cell r="C13">
            <v>107159605.72000004</v>
          </cell>
          <cell r="D13">
            <v>9901953.9200000018</v>
          </cell>
          <cell r="E13">
            <v>0.20427929208835094</v>
          </cell>
          <cell r="F13">
            <v>0.20447892102821941</v>
          </cell>
          <cell r="G13">
            <v>1.9321085523516635</v>
          </cell>
        </row>
        <row r="14">
          <cell r="B14">
            <v>62133.17</v>
          </cell>
          <cell r="C14">
            <v>8337.42</v>
          </cell>
          <cell r="D14">
            <v>0</v>
          </cell>
          <cell r="E14">
            <v>-0.7344216517591905</v>
          </cell>
          <cell r="F14">
            <v>-0.9537217377258741</v>
          </cell>
          <cell r="G14">
            <v>0</v>
          </cell>
        </row>
        <row r="15">
          <cell r="B15">
            <v>108690468.88000004</v>
          </cell>
          <cell r="C15">
            <v>107167943.14000005</v>
          </cell>
          <cell r="D15">
            <v>9901953.9200000018</v>
          </cell>
          <cell r="E15">
            <v>0.20185090880473711</v>
          </cell>
          <cell r="F15">
            <v>0.20213831678020888</v>
          </cell>
          <cell r="G15">
            <v>1.9321085523516635</v>
          </cell>
        </row>
        <row r="21">
          <cell r="B21">
            <v>70596227.330000028</v>
          </cell>
          <cell r="C21">
            <v>68028750.87000002</v>
          </cell>
          <cell r="D21">
            <v>21569897.190000035</v>
          </cell>
          <cell r="E21">
            <v>4.5773160754869036E-2</v>
          </cell>
          <cell r="F21">
            <v>4.710413839038563E-2</v>
          </cell>
          <cell r="G21">
            <v>0.58213221621562372</v>
          </cell>
        </row>
        <row r="22">
          <cell r="B22">
            <v>9244167.5000000019</v>
          </cell>
          <cell r="C22">
            <v>6544167.5000000009</v>
          </cell>
          <cell r="D22">
            <v>174176.16999999998</v>
          </cell>
          <cell r="E22">
            <v>0.10810198865976473</v>
          </cell>
          <cell r="F22">
            <v>0.15983144571254826</v>
          </cell>
          <cell r="G22">
            <v>0.20872171086252345</v>
          </cell>
        </row>
        <row r="23">
          <cell r="B23">
            <v>79840394.830000028</v>
          </cell>
          <cell r="C23">
            <v>74572918.37000002</v>
          </cell>
          <cell r="D23">
            <v>21744073.360000037</v>
          </cell>
          <cell r="E23">
            <v>5.262850840516986E-2</v>
          </cell>
          <cell r="F23">
            <v>5.6111911997523523E-2</v>
          </cell>
          <cell r="G23">
            <v>0.57822670913136043</v>
          </cell>
        </row>
        <row r="29">
          <cell r="B29">
            <v>207172718.92000008</v>
          </cell>
          <cell r="C29">
            <v>196898548.30000007</v>
          </cell>
          <cell r="D29">
            <v>32683461.850000039</v>
          </cell>
          <cell r="E29">
            <v>0.25073335314080558</v>
          </cell>
          <cell r="F29">
            <v>0.23300665935744314</v>
          </cell>
          <cell r="G29">
            <v>0.79416507741320075</v>
          </cell>
        </row>
        <row r="30">
          <cell r="B30">
            <v>14370675.129999999</v>
          </cell>
          <cell r="C30">
            <v>13599280.23</v>
          </cell>
          <cell r="D30">
            <v>157248.84</v>
          </cell>
          <cell r="E30">
            <v>1.8249450766149762</v>
          </cell>
          <cell r="F30">
            <v>1.9657534049256267</v>
          </cell>
          <cell r="G30">
            <v>0</v>
          </cell>
        </row>
        <row r="31">
          <cell r="B31">
            <v>108285666.40000005</v>
          </cell>
          <cell r="C31">
            <v>107882520.14000005</v>
          </cell>
          <cell r="D31">
            <v>29812767.63000004</v>
          </cell>
          <cell r="E31">
            <v>0.15384236834223186</v>
          </cell>
          <cell r="F31">
            <v>0.15352895203815375</v>
          </cell>
          <cell r="G31">
            <v>0.88496992019350151</v>
          </cell>
        </row>
        <row r="32">
          <cell r="B32">
            <v>9898313.8299999982</v>
          </cell>
          <cell r="C32">
            <v>6480664.8599999994</v>
          </cell>
          <cell r="D32">
            <v>2226842.62</v>
          </cell>
          <cell r="E32">
            <v>0.62301080060749947</v>
          </cell>
          <cell r="F32">
            <v>1.4171759388123064</v>
          </cell>
          <cell r="G32">
            <v>0.1620496662983173</v>
          </cell>
        </row>
        <row r="33">
          <cell r="B33">
            <v>71222278.210000008</v>
          </cell>
          <cell r="C33">
            <v>65603434.670000002</v>
          </cell>
          <cell r="D33">
            <v>486551.76000000024</v>
          </cell>
          <cell r="E33">
            <v>0.17550373241063411</v>
          </cell>
          <cell r="F33">
            <v>0.11403299900039943</v>
          </cell>
          <cell r="G33">
            <v>0.48847219092463323</v>
          </cell>
        </row>
        <row r="34">
          <cell r="B34">
            <v>3341789.9999999995</v>
          </cell>
          <cell r="C34">
            <v>3287438.4999999995</v>
          </cell>
          <cell r="D34">
            <v>0</v>
          </cell>
          <cell r="E34">
            <v>14294.816221765912</v>
          </cell>
          <cell r="F34">
            <v>14062.306382614646</v>
          </cell>
          <cell r="G34">
            <v>0</v>
          </cell>
        </row>
        <row r="35">
          <cell r="B35">
            <v>53995.350000000006</v>
          </cell>
          <cell r="C35">
            <v>45209.899999999994</v>
          </cell>
          <cell r="D35">
            <v>51</v>
          </cell>
          <cell r="E35">
            <v>1.9428305928134249</v>
          </cell>
          <cell r="F35">
            <v>3.1555317594179844</v>
          </cell>
          <cell r="G35">
            <v>0</v>
          </cell>
        </row>
        <row r="36">
          <cell r="B36">
            <v>33371491.480000004</v>
          </cell>
          <cell r="C36">
            <v>25977300.050000001</v>
          </cell>
          <cell r="D36">
            <v>186378.71999999997</v>
          </cell>
          <cell r="E36">
            <v>0.17510888323335494</v>
          </cell>
          <cell r="F36">
            <v>0.23408638758236933</v>
          </cell>
          <cell r="G36">
            <v>0.28777302316017406</v>
          </cell>
        </row>
        <row r="37">
          <cell r="B37">
            <v>20439448.100000001</v>
          </cell>
          <cell r="C37">
            <v>13638235.16</v>
          </cell>
          <cell r="D37">
            <v>186378.71999999997</v>
          </cell>
          <cell r="E37">
            <v>0.13388691605206038</v>
          </cell>
          <cell r="F37">
            <v>0.21011839007496724</v>
          </cell>
          <cell r="G37">
            <v>0.28777302316017406</v>
          </cell>
        </row>
        <row r="38">
          <cell r="B38">
            <v>12932043.380000001</v>
          </cell>
          <cell r="C38">
            <v>12339064.890000001</v>
          </cell>
          <cell r="D38">
            <v>0</v>
          </cell>
          <cell r="E38">
            <v>0.24674615168608427</v>
          </cell>
          <cell r="F38">
            <v>0.26170732674980335</v>
          </cell>
          <cell r="G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B40">
            <v>240544210.4000001</v>
          </cell>
          <cell r="C40">
            <v>222875848.35000008</v>
          </cell>
          <cell r="D40">
            <v>32869840.570000038</v>
          </cell>
          <cell r="E40">
            <v>0.23966534667895245</v>
          </cell>
          <cell r="F40">
            <v>0.23313240982429884</v>
          </cell>
          <cell r="G40">
            <v>0.79017352884827297</v>
          </cell>
        </row>
        <row r="42">
          <cell r="B42">
            <v>166975992.60000008</v>
          </cell>
          <cell r="C42">
            <v>149320114.49000007</v>
          </cell>
          <cell r="D42">
            <v>11125767.210000003</v>
          </cell>
          <cell r="E42">
            <v>0.3485279471676419</v>
          </cell>
          <cell r="F42">
            <v>0.350905200712049</v>
          </cell>
          <cell r="G42">
            <v>1.4272328858148149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Regional-Accounts"/>
      <sheetName val="Caderno_SIGO"/>
      <sheetName val="RESUMO_Info"/>
      <sheetName val="SIGO_vs_MPA"/>
      <sheetName val="PMP"/>
      <sheetName val="RAM_CP (REPORTE)"/>
      <sheetName val="Folha1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ODES"/>
      <sheetName val="DOREC"/>
      <sheetName val="R_SFA"/>
      <sheetName val="D_SFA"/>
      <sheetName val="MPA"/>
      <sheetName val="GR"/>
      <sheetName val="SFA"/>
      <sheetName val="EPR"/>
      <sheetName val="ALM"/>
      <sheetName val="PGR"/>
      <sheetName val="SRTAC"/>
      <sheetName val="SRE"/>
      <sheetName val="SREC"/>
      <sheetName val="SRS"/>
      <sheetName val="SRF"/>
      <sheetName val="SRAP"/>
      <sheetName val="SRITJ"/>
      <sheetName val="SREI"/>
      <sheetName val="MPA_Fevereiro_2026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CT1">
            <v>46054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zoomScale="85" zoomScaleNormal="85" workbookViewId="0">
      <selection activeCell="O37" sqref="O37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M86"/>
  <sheetViews>
    <sheetView showGridLines="0" zoomScale="120" zoomScaleNormal="120" zoomScalePageLayoutView="115" workbookViewId="0">
      <selection activeCell="G4" sqref="G4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10" width="9.7109375" style="187" customWidth="1"/>
    <col min="11" max="11" width="8.42578125" style="187" customWidth="1"/>
    <col min="12" max="12" width="9.5703125" style="187" customWidth="1"/>
    <col min="13" max="13" width="11.85546875" style="187" customWidth="1"/>
    <col min="14" max="14" width="10.85546875" style="187" customWidth="1"/>
    <col min="15" max="15" width="7.28515625" style="186" customWidth="1"/>
    <col min="16" max="26" width="11.42578125" style="186" customWidth="1"/>
    <col min="27" max="27" width="9.140625" style="186" customWidth="1"/>
    <col min="28" max="31" width="11.42578125" style="186" customWidth="1"/>
    <col min="32" max="32" width="22.28515625" style="186" customWidth="1"/>
    <col min="33" max="36" width="8.85546875" style="186"/>
    <col min="37" max="40" width="9.140625" style="186" customWidth="1"/>
    <col min="41" max="42" width="8.85546875" style="186"/>
    <col min="43" max="16384" width="8.85546875" style="187"/>
  </cols>
  <sheetData>
    <row r="1" spans="2:16" ht="33.75">
      <c r="C1" s="184"/>
      <c r="D1" s="184"/>
      <c r="E1" s="184"/>
      <c r="F1" s="185"/>
      <c r="G1" s="185"/>
      <c r="H1" s="185"/>
      <c r="I1" s="185"/>
      <c r="J1" s="185" t="str">
        <f>+IF(Índice!$D$2=1,"Educação, Ciência e Tecnologia","Education, Science and Technology")</f>
        <v>Educação, Ciência e Tecnologia</v>
      </c>
      <c r="K1" s="184"/>
      <c r="L1" s="184"/>
      <c r="M1" s="184"/>
      <c r="N1" s="184"/>
    </row>
    <row r="2" spans="2:16" ht="13.5" customHeight="1">
      <c r="B2" s="188"/>
      <c r="C2" s="256" t="str">
        <f>+IF(Índice!$D$2=1,"QUADRO VIII - Execução orçamental por classificação cruzada orgânica e económica (janeiro-fevereiro)","TABLE VIII - Budget execution by organic and economic cross-classification (january-february)")</f>
        <v>QUADRO VIII - Execução orçamental por classificação cruzada orgânica e económica (janeiro-fevereiro)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52" t="str">
        <f>+IF(Índice!$D$2=1,"€ Milhares","€ Thousands")</f>
        <v>€ Milhares</v>
      </c>
      <c r="P2" s="190" t="str">
        <f>+IF(Índice!$D$2=1,"índice","Index")</f>
        <v>índice</v>
      </c>
    </row>
    <row r="3" spans="2:16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+IF(Índice!$D$2=1,"Turismo, Ambiente e Cultura","Tourism, Enviroment and Culture")</f>
        <v>Turismo, Ambiente e Cultura</v>
      </c>
      <c r="G3" s="320" t="str">
        <f>+IF(Índice!$D$2=1,"Educação, Ciência e Tecnologia","Education, Science and Technology")</f>
        <v>Educação, Ciência e Tecnologia</v>
      </c>
      <c r="H3" s="320" t="str">
        <f>+IF(Índice!$D$2=1,"Economia","Economy")</f>
        <v>Economia</v>
      </c>
      <c r="I3" s="192" t="str">
        <f>+IF(Índice!$D$2=1,"Saúde e Proteção Civil","Health and Civil Protection")</f>
        <v>Saúde e Proteção Civil</v>
      </c>
      <c r="J3" s="192" t="str">
        <f>+IF(Índice!$D$2=1,"Finanças","Finances")</f>
        <v>Finanças</v>
      </c>
      <c r="K3" s="192" t="str">
        <f>+IF(Índice!$D$2=1,"Agricultura, Pescas e Ambiente","Agriculture and Fisheries")</f>
        <v>Agricultura, Pescas e Ambiente</v>
      </c>
      <c r="L3" s="192" t="str">
        <f>+IF(Índice!$D$2=1,"Inclusão, Trabalho e Jventude","Inclusion, Labor and Youth")</f>
        <v>Inclusão, Trabalho e Jventude</v>
      </c>
      <c r="M3" s="192" t="str">
        <f>+IF(Índice!$D$2=1,"Equipamentos e Infraestruturas","Equipment and infrastructures")</f>
        <v>Equipamentos e Infraestruturas</v>
      </c>
      <c r="N3" s="193" t="s">
        <v>5</v>
      </c>
    </row>
    <row r="4" spans="2:16" ht="27" customHeight="1">
      <c r="C4" s="253" t="str">
        <f>+IF(Índice!$D$2=1,"Despesa corrente","Current expenditure")</f>
        <v>Despesa corrente</v>
      </c>
      <c r="D4" s="194">
        <f>+[1]D_Est_Org_Q8!D9</f>
        <v>2460</v>
      </c>
      <c r="E4" s="194">
        <f>+[1]D_Est_Org_Q8!E9</f>
        <v>316.19553000000002</v>
      </c>
      <c r="F4" s="194">
        <f>+[1]D_Est_Org_Q8!F9</f>
        <v>4307.2459500000004</v>
      </c>
      <c r="G4" s="194">
        <f>+[1]D_Est_Org_Q8!G9</f>
        <v>64617.172060000004</v>
      </c>
      <c r="H4" s="194">
        <f>+[1]D_Est_Org_Q8!H9</f>
        <v>3016.8862999999992</v>
      </c>
      <c r="I4" s="194">
        <f>+[1]D_Est_Org_Q8!I9</f>
        <v>41902.435319999997</v>
      </c>
      <c r="J4" s="194">
        <f>+[1]D_Est_Org_Q8!J9</f>
        <v>39487.101419999999</v>
      </c>
      <c r="K4" s="194">
        <f>+[1]D_Est_Org_Q8!K9</f>
        <v>3563.7365700000005</v>
      </c>
      <c r="L4" s="194">
        <f>+[1]D_Est_Org_Q8!L9</f>
        <v>3410.7171200000003</v>
      </c>
      <c r="M4" s="194">
        <f>+[1]D_Est_Org_Q8!M9</f>
        <v>37906.150569999998</v>
      </c>
      <c r="N4" s="194">
        <f>+[1]D_Est_Org_Q8!N9</f>
        <v>200987.64083999998</v>
      </c>
    </row>
    <row r="5" spans="2:16" ht="15" customHeight="1">
      <c r="B5" s="195"/>
      <c r="C5" s="104" t="str">
        <f>+IF(Índice!$D$2=1,"Despesas com o pessoal","Compensation of employees")</f>
        <v>Despesas com o pessoal</v>
      </c>
      <c r="D5" s="196">
        <f>+[1]D_Est_Org_Q8!D10</f>
        <v>0</v>
      </c>
      <c r="E5" s="196">
        <f>+[1]D_Est_Org_Q8!E10</f>
        <v>252.49714000000003</v>
      </c>
      <c r="F5" s="196">
        <f>+[1]D_Est_Org_Q8!F10</f>
        <v>2555.8003100000005</v>
      </c>
      <c r="G5" s="196">
        <f>+[1]D_Est_Org_Q8!G10</f>
        <v>51764.593180000011</v>
      </c>
      <c r="H5" s="196">
        <f>+[1]D_Est_Org_Q8!H10</f>
        <v>595.53050999999971</v>
      </c>
      <c r="I5" s="196">
        <f>+[1]D_Est_Org_Q8!I10</f>
        <v>816.29222000000004</v>
      </c>
      <c r="J5" s="196">
        <f>+[1]D_Est_Org_Q8!J10</f>
        <v>4714.6722200000013</v>
      </c>
      <c r="K5" s="196">
        <f>+[1]D_Est_Org_Q8!K10</f>
        <v>3080.3519600000004</v>
      </c>
      <c r="L5" s="196">
        <f>+[1]D_Est_Org_Q8!L10</f>
        <v>1103.4891</v>
      </c>
      <c r="M5" s="196">
        <f>+[1]D_Est_Org_Q8!M10</f>
        <v>2116.2623599999997</v>
      </c>
      <c r="N5" s="196">
        <f>+[1]D_Est_Org_Q8!N10</f>
        <v>66999.489000000001</v>
      </c>
      <c r="O5" s="21"/>
    </row>
    <row r="6" spans="2:16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f>+[1]D_Est_Org_Q8!D11</f>
        <v>0</v>
      </c>
      <c r="E6" s="197">
        <f>+[1]D_Est_Org_Q8!E11</f>
        <v>211.68461000000002</v>
      </c>
      <c r="F6" s="197">
        <f>+[1]D_Est_Org_Q8!F11</f>
        <v>2280.9832400000005</v>
      </c>
      <c r="G6" s="197">
        <f>+[1]D_Est_Org_Q8!G11</f>
        <v>42972.164450000011</v>
      </c>
      <c r="H6" s="197">
        <f>+[1]D_Est_Org_Q8!H11</f>
        <v>532.43980999999974</v>
      </c>
      <c r="I6" s="197">
        <f>+[1]D_Est_Org_Q8!I11</f>
        <v>717.01372000000003</v>
      </c>
      <c r="J6" s="197">
        <f>+[1]D_Est_Org_Q8!J11</f>
        <v>3791.7362000000007</v>
      </c>
      <c r="K6" s="197">
        <f>+[1]D_Est_Org_Q8!K11</f>
        <v>2725.2031100000004</v>
      </c>
      <c r="L6" s="197">
        <f>+[1]D_Est_Org_Q8!L11</f>
        <v>987.84773000000007</v>
      </c>
      <c r="M6" s="197">
        <f>+[1]D_Est_Org_Q8!M11</f>
        <v>1865.3393299999998</v>
      </c>
      <c r="N6" s="197">
        <f>+[1]D_Est_Org_Q8!N11</f>
        <v>56084.412200000013</v>
      </c>
    </row>
    <row r="7" spans="2:16" ht="15" customHeight="1">
      <c r="B7" s="195"/>
      <c r="C7" s="109" t="str">
        <f>+IF(Índice!$D$2=1,"Abonos Variáveis ou Eventuais","Variable or contingent bonuses")</f>
        <v>Abonos Variáveis ou Eventuais</v>
      </c>
      <c r="D7" s="197">
        <f>+[1]D_Est_Org_Q8!D12</f>
        <v>0</v>
      </c>
      <c r="E7" s="197">
        <f>+[1]D_Est_Org_Q8!E12</f>
        <v>4.32273</v>
      </c>
      <c r="F7" s="197">
        <f>+[1]D_Est_Org_Q8!F12</f>
        <v>2.3280600000000002</v>
      </c>
      <c r="G7" s="197">
        <f>+[1]D_Est_Org_Q8!G12</f>
        <v>422.63018000000005</v>
      </c>
      <c r="H7" s="197">
        <f>+[1]D_Est_Org_Q8!H12</f>
        <v>1.1212599999999999</v>
      </c>
      <c r="I7" s="197">
        <f>+[1]D_Est_Org_Q8!I12</f>
        <v>4.1330299999999998</v>
      </c>
      <c r="J7" s="197">
        <f>+[1]D_Est_Org_Q8!J12</f>
        <v>424.90665999999999</v>
      </c>
      <c r="K7" s="197">
        <f>+[1]D_Est_Org_Q8!K12</f>
        <v>25.298779999999997</v>
      </c>
      <c r="L7" s="197">
        <f>+[1]D_Est_Org_Q8!L12</f>
        <v>2.99472</v>
      </c>
      <c r="M7" s="197">
        <f>+[1]D_Est_Org_Q8!M12</f>
        <v>26.049429999999997</v>
      </c>
      <c r="N7" s="197">
        <f>+[1]D_Est_Org_Q8!N12</f>
        <v>913.78485000000001</v>
      </c>
    </row>
    <row r="8" spans="2:16" ht="15" customHeight="1">
      <c r="B8" s="195"/>
      <c r="C8" s="109" t="str">
        <f>+IF(Índice!$D$2=1,"Segurança social","Social security")</f>
        <v>Segurança social</v>
      </c>
      <c r="D8" s="197">
        <f>+[1]D_Est_Org_Q8!D13</f>
        <v>0</v>
      </c>
      <c r="E8" s="197">
        <f>+[1]D_Est_Org_Q8!E13</f>
        <v>36.489800000000002</v>
      </c>
      <c r="F8" s="197">
        <f>+[1]D_Est_Org_Q8!F13</f>
        <v>272.48901000000001</v>
      </c>
      <c r="G8" s="197">
        <f>+[1]D_Est_Org_Q8!G13</f>
        <v>8369.7985499999995</v>
      </c>
      <c r="H8" s="197">
        <f>+[1]D_Est_Org_Q8!H13</f>
        <v>61.969439999999992</v>
      </c>
      <c r="I8" s="197">
        <f>+[1]D_Est_Org_Q8!I13</f>
        <v>95.145470000000003</v>
      </c>
      <c r="J8" s="197">
        <f>+[1]D_Est_Org_Q8!J13</f>
        <v>498.02936000000005</v>
      </c>
      <c r="K8" s="197">
        <f>+[1]D_Est_Org_Q8!K13</f>
        <v>329.85006999999996</v>
      </c>
      <c r="L8" s="197">
        <f>+[1]D_Est_Org_Q8!L13</f>
        <v>112.64664999999999</v>
      </c>
      <c r="M8" s="197">
        <f>+[1]D_Est_Org_Q8!M13</f>
        <v>224.87359999999998</v>
      </c>
      <c r="N8" s="197">
        <f>+[1]D_Est_Org_Q8!N13</f>
        <v>10001.291950000003</v>
      </c>
    </row>
    <row r="9" spans="2:16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f>+[1]D_Est_Org_Q8!D14</f>
        <v>0</v>
      </c>
      <c r="E9" s="196">
        <f>+[1]D_Est_Org_Q8!E14</f>
        <v>63.046390000000002</v>
      </c>
      <c r="F9" s="196">
        <f>+[1]D_Est_Org_Q8!F14</f>
        <v>365.50015999999999</v>
      </c>
      <c r="G9" s="196">
        <f>+[1]D_Est_Org_Q8!G14</f>
        <v>1512.0447399999998</v>
      </c>
      <c r="H9" s="196">
        <f>+[1]D_Est_Org_Q8!H14</f>
        <v>187.52223999999998</v>
      </c>
      <c r="I9" s="196">
        <f>+[1]D_Est_Org_Q8!I14</f>
        <v>14.900360000000001</v>
      </c>
      <c r="J9" s="196">
        <f>+[1]D_Est_Org_Q8!J14</f>
        <v>14768.540730000001</v>
      </c>
      <c r="K9" s="196">
        <f>+[1]D_Est_Org_Q8!K14</f>
        <v>12.787979999999999</v>
      </c>
      <c r="L9" s="196">
        <f>+[1]D_Est_Org_Q8!L14</f>
        <v>25.668469999999999</v>
      </c>
      <c r="M9" s="196">
        <f>+[1]D_Est_Org_Q8!M14</f>
        <v>30726.348299999998</v>
      </c>
      <c r="N9" s="196">
        <f>+[1]D_Est_Org_Q8!N14</f>
        <v>47676.359369999998</v>
      </c>
    </row>
    <row r="10" spans="2:16" ht="15" customHeight="1">
      <c r="B10" s="195"/>
      <c r="C10" s="199" t="str">
        <f>IF(Índice!$D$2=1,"Aquisição de bens","Purchase of goods")</f>
        <v>Aquisição de bens</v>
      </c>
      <c r="D10" s="197">
        <f>+[1]D_Est_Org_Q8!D15</f>
        <v>0</v>
      </c>
      <c r="E10" s="197">
        <f>+[1]D_Est_Org_Q8!E15</f>
        <v>16.119139999999998</v>
      </c>
      <c r="F10" s="197">
        <f>+[1]D_Est_Org_Q8!F15</f>
        <v>29.301169999999999</v>
      </c>
      <c r="G10" s="197">
        <f>+[1]D_Est_Org_Q8!G15</f>
        <v>813.36765999999966</v>
      </c>
      <c r="H10" s="197">
        <f>+[1]D_Est_Org_Q8!H15</f>
        <v>3.5930000000000004</v>
      </c>
      <c r="I10" s="197">
        <f>+[1]D_Est_Org_Q8!I15</f>
        <v>1.6232199999999999</v>
      </c>
      <c r="J10" s="197">
        <f>+[1]D_Est_Org_Q8!J15</f>
        <v>54.826780000000007</v>
      </c>
      <c r="K10" s="197">
        <f>+[1]D_Est_Org_Q8!K15</f>
        <v>0.15547</v>
      </c>
      <c r="L10" s="197">
        <f>+[1]D_Est_Org_Q8!L15</f>
        <v>1.6520600000000001</v>
      </c>
      <c r="M10" s="197">
        <f>+[1]D_Est_Org_Q8!M15</f>
        <v>14.78604</v>
      </c>
      <c r="N10" s="197">
        <f>+[1]D_Est_Org_Q8!N15</f>
        <v>935.42453999999952</v>
      </c>
    </row>
    <row r="11" spans="2:16" ht="15" customHeight="1">
      <c r="B11" s="195"/>
      <c r="C11" s="199" t="str">
        <f>IF(Índice!$D$2=1,"Aquisição de serviços","Purchase of services")</f>
        <v>Aquisição de serviços</v>
      </c>
      <c r="D11" s="197">
        <f>+[1]D_Est_Org_Q8!D16</f>
        <v>0</v>
      </c>
      <c r="E11" s="197">
        <f>+[1]D_Est_Org_Q8!E16</f>
        <v>46.927250000000001</v>
      </c>
      <c r="F11" s="197">
        <f>+[1]D_Est_Org_Q8!F16</f>
        <v>336.19898999999998</v>
      </c>
      <c r="G11" s="197">
        <f>+[1]D_Est_Org_Q8!G16</f>
        <v>698.67708000000005</v>
      </c>
      <c r="H11" s="197">
        <f>+[1]D_Est_Org_Q8!H16</f>
        <v>183.92923999999999</v>
      </c>
      <c r="I11" s="197">
        <f>+[1]D_Est_Org_Q8!I16</f>
        <v>13.277140000000001</v>
      </c>
      <c r="J11" s="197">
        <f>+[1]D_Est_Org_Q8!J16</f>
        <v>14713.713950000001</v>
      </c>
      <c r="K11" s="197">
        <f>+[1]D_Est_Org_Q8!K16</f>
        <v>12.63251</v>
      </c>
      <c r="L11" s="197">
        <f>+[1]D_Est_Org_Q8!L16</f>
        <v>24.01641</v>
      </c>
      <c r="M11" s="197">
        <f>+[1]D_Est_Org_Q8!M16</f>
        <v>30711.562259999999</v>
      </c>
      <c r="N11" s="197">
        <f>+[1]D_Est_Org_Q8!N16</f>
        <v>46740.934829999998</v>
      </c>
    </row>
    <row r="12" spans="2:16" ht="15" customHeight="1">
      <c r="B12" s="195"/>
      <c r="C12" s="104" t="str">
        <f>+IF(Índice!$D$2=1,"Juros e outros encargos","Interests and other charges")</f>
        <v>Juros e outros encargos</v>
      </c>
      <c r="D12" s="198">
        <f>+[1]D_Est_Org_Q8!D17</f>
        <v>0</v>
      </c>
      <c r="E12" s="198">
        <f>+[1]D_Est_Org_Q8!E17</f>
        <v>0</v>
      </c>
      <c r="F12" s="198">
        <f>+[1]D_Est_Org_Q8!F17</f>
        <v>0</v>
      </c>
      <c r="G12" s="198">
        <f>+[1]D_Est_Org_Q8!G17</f>
        <v>4.3879299999999999</v>
      </c>
      <c r="H12" s="198">
        <f>+[1]D_Est_Org_Q8!H17</f>
        <v>0</v>
      </c>
      <c r="I12" s="198">
        <f>+[1]D_Est_Org_Q8!I17</f>
        <v>0</v>
      </c>
      <c r="J12" s="198">
        <f>+[1]D_Est_Org_Q8!J17</f>
        <v>18841.04362</v>
      </c>
      <c r="K12" s="198">
        <f>+[1]D_Est_Org_Q8!K17</f>
        <v>0</v>
      </c>
      <c r="L12" s="198">
        <f>+[1]D_Est_Org_Q8!L17</f>
        <v>0</v>
      </c>
      <c r="M12" s="198">
        <f>+[1]D_Est_Org_Q8!M17</f>
        <v>0</v>
      </c>
      <c r="N12" s="198">
        <f>+[1]D_Est_Org_Q8!N17</f>
        <v>18845.431550000001</v>
      </c>
    </row>
    <row r="13" spans="2:16" ht="15" customHeight="1">
      <c r="B13" s="195"/>
      <c r="C13" s="104" t="str">
        <f>+IF(Índice!$D$2=1,"Transferências correntes","Current transfers")</f>
        <v>Transferências correntes</v>
      </c>
      <c r="D13" s="196">
        <f>+[1]D_Est_Org_Q8!D18</f>
        <v>2460</v>
      </c>
      <c r="E13" s="196">
        <f>+[1]D_Est_Org_Q8!E18</f>
        <v>0.65200000000000002</v>
      </c>
      <c r="F13" s="196">
        <f>+[1]D_Est_Org_Q8!F18</f>
        <v>1381.0147199999999</v>
      </c>
      <c r="G13" s="196">
        <f>+[1]D_Est_Org_Q8!G18</f>
        <v>11330.168259999999</v>
      </c>
      <c r="H13" s="196">
        <f>+[1]D_Est_Org_Q8!H18</f>
        <v>2233.6735499999995</v>
      </c>
      <c r="I13" s="196">
        <f>+[1]D_Est_Org_Q8!I18</f>
        <v>41071.242739999994</v>
      </c>
      <c r="J13" s="196">
        <f>+[1]D_Est_Org_Q8!J18</f>
        <v>1021.2622100000001</v>
      </c>
      <c r="K13" s="196">
        <f>+[1]D_Est_Org_Q8!K18</f>
        <v>466.41771999999997</v>
      </c>
      <c r="L13" s="196">
        <f>+[1]D_Est_Org_Q8!L18</f>
        <v>2281.5595499999999</v>
      </c>
      <c r="M13" s="196">
        <f>+[1]D_Est_Org_Q8!M18</f>
        <v>3856.9326199999996</v>
      </c>
      <c r="N13" s="196">
        <f>+[1]D_Est_Org_Q8!N18</f>
        <v>66102.92336999999</v>
      </c>
    </row>
    <row r="14" spans="2:16" ht="15" customHeight="1">
      <c r="B14" s="195"/>
      <c r="C14" s="109" t="str">
        <f>IF(Índice!$D$2=1,"Administração Pública","Public Administration")</f>
        <v>Administração Pública</v>
      </c>
      <c r="D14" s="200">
        <f>+[1]D_Est_Org_Q8!D19</f>
        <v>2460</v>
      </c>
      <c r="E14" s="200">
        <f>+[1]D_Est_Org_Q8!E19</f>
        <v>0</v>
      </c>
      <c r="F14" s="200">
        <f>+[1]D_Est_Org_Q8!F19</f>
        <v>1262.8303899999999</v>
      </c>
      <c r="G14" s="200">
        <f>+[1]D_Est_Org_Q8!G19</f>
        <v>3208.4799800000001</v>
      </c>
      <c r="H14" s="200">
        <f>+[1]D_Est_Org_Q8!H19</f>
        <v>2231.8861399999996</v>
      </c>
      <c r="I14" s="200">
        <f>+[1]D_Est_Org_Q8!I19</f>
        <v>41065.533889999992</v>
      </c>
      <c r="J14" s="200">
        <f>+[1]D_Est_Org_Q8!J19</f>
        <v>997.79564000000005</v>
      </c>
      <c r="K14" s="200">
        <f>+[1]D_Est_Org_Q8!K19</f>
        <v>460.25356999999997</v>
      </c>
      <c r="L14" s="200">
        <f>+[1]D_Est_Org_Q8!L19</f>
        <v>2178.4356699999998</v>
      </c>
      <c r="M14" s="200">
        <f>+[1]D_Est_Org_Q8!M19</f>
        <v>3849.6847799999996</v>
      </c>
      <c r="N14" s="200">
        <f>+[1]D_Est_Org_Q8!N19</f>
        <v>57714.900059999985</v>
      </c>
    </row>
    <row r="15" spans="2:16" ht="15" customHeight="1">
      <c r="B15" s="195"/>
      <c r="C15" s="201" t="str">
        <f>IF(Índice!$D$2=1,"Administração Central","Central Administration")</f>
        <v>Administração Central</v>
      </c>
      <c r="D15" s="197">
        <f>+[1]D_Est_Org_Q8!D20</f>
        <v>0</v>
      </c>
      <c r="E15" s="197">
        <f>+[1]D_Est_Org_Q8!E20</f>
        <v>0</v>
      </c>
      <c r="F15" s="197">
        <f>+[1]D_Est_Org_Q8!F20</f>
        <v>0</v>
      </c>
      <c r="G15" s="197">
        <f>+[1]D_Est_Org_Q8!G20</f>
        <v>0</v>
      </c>
      <c r="H15" s="197">
        <f>+[1]D_Est_Org_Q8!H20</f>
        <v>0</v>
      </c>
      <c r="I15" s="197">
        <f>+[1]D_Est_Org_Q8!I20</f>
        <v>0</v>
      </c>
      <c r="J15" s="197">
        <f>+[1]D_Est_Org_Q8!J20</f>
        <v>0</v>
      </c>
      <c r="K15" s="197">
        <f>+[1]D_Est_Org_Q8!K20</f>
        <v>0</v>
      </c>
      <c r="L15" s="197">
        <f>+[1]D_Est_Org_Q8!L20</f>
        <v>0</v>
      </c>
      <c r="M15" s="197">
        <f>+[1]D_Est_Org_Q8!M20</f>
        <v>0</v>
      </c>
      <c r="N15" s="197">
        <f>+[1]D_Est_Org_Q8!N20</f>
        <v>0</v>
      </c>
    </row>
    <row r="16" spans="2:16" ht="15" customHeight="1">
      <c r="B16" s="195"/>
      <c r="C16" s="201" t="str">
        <f>IF(Índice!$D$2=1,"Administração Regional","Regional Administration")</f>
        <v>Administração Regional</v>
      </c>
      <c r="D16" s="198">
        <f>+[1]D_Est_Org_Q8!D21</f>
        <v>2460</v>
      </c>
      <c r="E16" s="198">
        <f>+[1]D_Est_Org_Q8!E21</f>
        <v>0</v>
      </c>
      <c r="F16" s="198">
        <f>+[1]D_Est_Org_Q8!F21</f>
        <v>1262.8303899999999</v>
      </c>
      <c r="G16" s="198">
        <f>+[1]D_Est_Org_Q8!G21</f>
        <v>3208.4799800000001</v>
      </c>
      <c r="H16" s="198">
        <f>+[1]D_Est_Org_Q8!H21</f>
        <v>2231.8861399999996</v>
      </c>
      <c r="I16" s="198">
        <f>+[1]D_Est_Org_Q8!I21</f>
        <v>41065.533889999992</v>
      </c>
      <c r="J16" s="198">
        <f>+[1]D_Est_Org_Q8!J21</f>
        <v>997.79564000000005</v>
      </c>
      <c r="K16" s="198">
        <f>+[1]D_Est_Org_Q8!K21</f>
        <v>460.25356999999997</v>
      </c>
      <c r="L16" s="198">
        <f>+[1]D_Est_Org_Q8!L21</f>
        <v>2178.4356699999998</v>
      </c>
      <c r="M16" s="198">
        <f>+[1]D_Est_Org_Q8!M21</f>
        <v>3849.6847799999996</v>
      </c>
      <c r="N16" s="198">
        <f>+[1]D_Est_Org_Q8!N21</f>
        <v>57714.900059999985</v>
      </c>
    </row>
    <row r="17" spans="2:14" ht="15" customHeight="1">
      <c r="B17" s="195"/>
      <c r="C17" s="201" t="str">
        <f>IF(Índice!$D$2=1,"Administração Local","Local Administration")</f>
        <v>Administração Local</v>
      </c>
      <c r="D17" s="197">
        <f>+[1]D_Est_Org_Q8!D22</f>
        <v>0</v>
      </c>
      <c r="E17" s="197">
        <f>+[1]D_Est_Org_Q8!E22</f>
        <v>0</v>
      </c>
      <c r="F17" s="197">
        <f>+[1]D_Est_Org_Q8!F22</f>
        <v>0</v>
      </c>
      <c r="G17" s="197">
        <f>+[1]D_Est_Org_Q8!G22</f>
        <v>0</v>
      </c>
      <c r="H17" s="197">
        <f>+[1]D_Est_Org_Q8!H22</f>
        <v>0</v>
      </c>
      <c r="I17" s="197">
        <f>+[1]D_Est_Org_Q8!I22</f>
        <v>0</v>
      </c>
      <c r="J17" s="197">
        <f>+[1]D_Est_Org_Q8!J22</f>
        <v>0</v>
      </c>
      <c r="K17" s="197">
        <f>+[1]D_Est_Org_Q8!K22</f>
        <v>0</v>
      </c>
      <c r="L17" s="197">
        <f>+[1]D_Est_Org_Q8!L22</f>
        <v>0</v>
      </c>
      <c r="M17" s="197">
        <f>+[1]D_Est_Org_Q8!M22</f>
        <v>0</v>
      </c>
      <c r="N17" s="197">
        <f>+[1]D_Est_Org_Q8!N22</f>
        <v>0</v>
      </c>
    </row>
    <row r="18" spans="2:14" ht="15" customHeight="1">
      <c r="B18" s="195"/>
      <c r="C18" s="201" t="str">
        <f>+IF(Índice!$D$2=1,"Segurança social","Social security")</f>
        <v>Segurança social</v>
      </c>
      <c r="D18" s="197">
        <f>+[1]D_Est_Org_Q8!D23</f>
        <v>0</v>
      </c>
      <c r="E18" s="197">
        <f>+[1]D_Est_Org_Q8!E23</f>
        <v>0</v>
      </c>
      <c r="F18" s="197">
        <f>+[1]D_Est_Org_Q8!F23</f>
        <v>0</v>
      </c>
      <c r="G18" s="197">
        <f>+[1]D_Est_Org_Q8!G23</f>
        <v>0</v>
      </c>
      <c r="H18" s="197">
        <f>+[1]D_Est_Org_Q8!H23</f>
        <v>0</v>
      </c>
      <c r="I18" s="197">
        <f>+[1]D_Est_Org_Q8!I23</f>
        <v>0</v>
      </c>
      <c r="J18" s="197">
        <f>+[1]D_Est_Org_Q8!J23</f>
        <v>0</v>
      </c>
      <c r="K18" s="197">
        <f>+[1]D_Est_Org_Q8!K23</f>
        <v>0</v>
      </c>
      <c r="L18" s="197">
        <f>+[1]D_Est_Org_Q8!L23</f>
        <v>0</v>
      </c>
      <c r="M18" s="197">
        <f>+[1]D_Est_Org_Q8!M23</f>
        <v>0</v>
      </c>
      <c r="N18" s="197">
        <f>+[1]D_Est_Org_Q8!N23</f>
        <v>0</v>
      </c>
    </row>
    <row r="19" spans="2:14" ht="15" customHeight="1">
      <c r="B19" s="195"/>
      <c r="C19" s="109" t="str">
        <f>+IF(Índice!$D$2=1,"Outras transferências correntes","Other current transfers")</f>
        <v>Outras transferências correntes</v>
      </c>
      <c r="D19" s="200">
        <f>+[1]D_Est_Org_Q8!D24</f>
        <v>0</v>
      </c>
      <c r="E19" s="200">
        <f>+[1]D_Est_Org_Q8!E24</f>
        <v>0.65200000000000002</v>
      </c>
      <c r="F19" s="200">
        <f>+[1]D_Est_Org_Q8!F24</f>
        <v>118.18432999999999</v>
      </c>
      <c r="G19" s="200">
        <f>+[1]D_Est_Org_Q8!G24</f>
        <v>8121.6882799999994</v>
      </c>
      <c r="H19" s="200">
        <f>+[1]D_Est_Org_Q8!H24</f>
        <v>1.7874099999999999</v>
      </c>
      <c r="I19" s="200">
        <f>+[1]D_Est_Org_Q8!I24</f>
        <v>5.70885</v>
      </c>
      <c r="J19" s="200">
        <f>+[1]D_Est_Org_Q8!J24</f>
        <v>23.466570000000001</v>
      </c>
      <c r="K19" s="200">
        <f>+[1]D_Est_Org_Q8!K24</f>
        <v>6.1641500000000002</v>
      </c>
      <c r="L19" s="200">
        <f>+[1]D_Est_Org_Q8!L24</f>
        <v>103.12388</v>
      </c>
      <c r="M19" s="200">
        <f>+[1]D_Est_Org_Q8!M24</f>
        <v>7.2478400000000001</v>
      </c>
      <c r="N19" s="200">
        <f>+[1]D_Est_Org_Q8!N24</f>
        <v>8388.0233100000005</v>
      </c>
    </row>
    <row r="20" spans="2:14" hidden="1">
      <c r="B20" s="195"/>
      <c r="C20" s="187">
        <v>0</v>
      </c>
      <c r="D20" s="198">
        <f>+[1]D_Est_Org_Q8!D25</f>
        <v>0</v>
      </c>
      <c r="E20" s="198">
        <f>+[1]D_Est_Org_Q8!E25</f>
        <v>0</v>
      </c>
      <c r="F20" s="198">
        <f>+[1]D_Est_Org_Q8!F25</f>
        <v>0</v>
      </c>
      <c r="G20" s="198">
        <f>+[1]D_Est_Org_Q8!G25</f>
        <v>2763.0904399999999</v>
      </c>
      <c r="H20" s="198">
        <f>+[1]D_Est_Org_Q8!H25</f>
        <v>0</v>
      </c>
      <c r="I20" s="198">
        <f>+[1]D_Est_Org_Q8!I25</f>
        <v>0</v>
      </c>
      <c r="J20" s="198">
        <f>+[1]D_Est_Org_Q8!J25</f>
        <v>0</v>
      </c>
      <c r="K20" s="198">
        <f>+[1]D_Est_Org_Q8!K25</f>
        <v>0</v>
      </c>
      <c r="L20" s="198">
        <f>+[1]D_Est_Org_Q8!L25</f>
        <v>0</v>
      </c>
      <c r="M20" s="198">
        <f>+[1]D_Est_Org_Q8!M25</f>
        <v>0</v>
      </c>
      <c r="N20" s="198">
        <f>+[1]D_Est_Org_Q8!N25</f>
        <v>2763.0904399999999</v>
      </c>
    </row>
    <row r="21" spans="2:14" hidden="1">
      <c r="B21" s="195"/>
      <c r="C21" s="104">
        <v>0</v>
      </c>
      <c r="D21" s="198">
        <f>+[1]D_Est_Org_Q8!D26</f>
        <v>0</v>
      </c>
      <c r="E21" s="198">
        <f>+[1]D_Est_Org_Q8!E26</f>
        <v>0</v>
      </c>
      <c r="F21" s="198">
        <f>+[1]D_Est_Org_Q8!F26</f>
        <v>0</v>
      </c>
      <c r="G21" s="198">
        <f>+[1]D_Est_Org_Q8!G26</f>
        <v>0</v>
      </c>
      <c r="H21" s="198">
        <f>+[1]D_Est_Org_Q8!H26</f>
        <v>0</v>
      </c>
      <c r="I21" s="198">
        <f>+[1]D_Est_Org_Q8!I26</f>
        <v>0</v>
      </c>
      <c r="J21" s="198">
        <f>+[1]D_Est_Org_Q8!J26</f>
        <v>0</v>
      </c>
      <c r="K21" s="198">
        <f>+[1]D_Est_Org_Q8!K26</f>
        <v>0</v>
      </c>
      <c r="L21" s="198">
        <f>+[1]D_Est_Org_Q8!L26</f>
        <v>0</v>
      </c>
      <c r="M21" s="198">
        <f>+[1]D_Est_Org_Q8!M26</f>
        <v>0</v>
      </c>
      <c r="N21" s="198">
        <f>+[1]D_Est_Org_Q8!N26</f>
        <v>0</v>
      </c>
    </row>
    <row r="22" spans="2:14" hidden="1">
      <c r="B22" s="195"/>
      <c r="C22" s="104">
        <v>0</v>
      </c>
      <c r="D22" s="198">
        <f>+[1]D_Est_Org_Q8!D27</f>
        <v>0</v>
      </c>
      <c r="E22" s="198">
        <f>+[1]D_Est_Org_Q8!E27</f>
        <v>0</v>
      </c>
      <c r="F22" s="198">
        <f>+[1]D_Est_Org_Q8!F27</f>
        <v>91.124449999999996</v>
      </c>
      <c r="G22" s="198">
        <f>+[1]D_Est_Org_Q8!G27</f>
        <v>4336.3817499999996</v>
      </c>
      <c r="H22" s="198">
        <f>+[1]D_Est_Org_Q8!H27</f>
        <v>0</v>
      </c>
      <c r="I22" s="198">
        <f>+[1]D_Est_Org_Q8!I27</f>
        <v>0.19714999999999999</v>
      </c>
      <c r="J22" s="198">
        <f>+[1]D_Est_Org_Q8!J27</f>
        <v>0</v>
      </c>
      <c r="K22" s="198">
        <f>+[1]D_Est_Org_Q8!K27</f>
        <v>0</v>
      </c>
      <c r="L22" s="198">
        <f>+[1]D_Est_Org_Q8!L27</f>
        <v>86.913550000000001</v>
      </c>
      <c r="M22" s="198">
        <f>+[1]D_Est_Org_Q8!M27</f>
        <v>0</v>
      </c>
      <c r="N22" s="198">
        <f>+[1]D_Est_Org_Q8!N27</f>
        <v>4514.6169</v>
      </c>
    </row>
    <row r="23" spans="2:14" hidden="1">
      <c r="B23" s="195"/>
      <c r="C23" s="104">
        <v>0</v>
      </c>
      <c r="D23" s="198">
        <f>+[1]D_Est_Org_Q8!D28</f>
        <v>0</v>
      </c>
      <c r="E23" s="198">
        <f>+[1]D_Est_Org_Q8!E28</f>
        <v>0.65200000000000002</v>
      </c>
      <c r="F23" s="198">
        <f>+[1]D_Est_Org_Q8!F28</f>
        <v>27.05988</v>
      </c>
      <c r="G23" s="198">
        <f>+[1]D_Est_Org_Q8!G28</f>
        <v>1022.21609</v>
      </c>
      <c r="H23" s="198">
        <f>+[1]D_Est_Org_Q8!H28</f>
        <v>1.7874099999999999</v>
      </c>
      <c r="I23" s="198">
        <f>+[1]D_Est_Org_Q8!I28</f>
        <v>5.5117000000000003</v>
      </c>
      <c r="J23" s="198">
        <f>+[1]D_Est_Org_Q8!J28</f>
        <v>18.188570000000002</v>
      </c>
      <c r="K23" s="198">
        <f>+[1]D_Est_Org_Q8!K28</f>
        <v>6.1641500000000002</v>
      </c>
      <c r="L23" s="198">
        <f>+[1]D_Est_Org_Q8!L28</f>
        <v>16.210329999999999</v>
      </c>
      <c r="M23" s="198">
        <f>+[1]D_Est_Org_Q8!M28</f>
        <v>7.2478400000000001</v>
      </c>
      <c r="N23" s="198">
        <f>+[1]D_Est_Org_Q8!N28</f>
        <v>1105.0379699999999</v>
      </c>
    </row>
    <row r="24" spans="2:14" hidden="1">
      <c r="B24" s="195"/>
      <c r="C24" s="187">
        <v>0</v>
      </c>
      <c r="D24" s="198">
        <f>+[1]D_Est_Org_Q8!D29</f>
        <v>0</v>
      </c>
      <c r="E24" s="198">
        <f>+[1]D_Est_Org_Q8!E29</f>
        <v>0</v>
      </c>
      <c r="F24" s="198">
        <f>+[1]D_Est_Org_Q8!F29</f>
        <v>0</v>
      </c>
      <c r="G24" s="198">
        <f>+[1]D_Est_Org_Q8!G29</f>
        <v>0</v>
      </c>
      <c r="H24" s="198">
        <f>+[1]D_Est_Org_Q8!H29</f>
        <v>0</v>
      </c>
      <c r="I24" s="198">
        <f>+[1]D_Est_Org_Q8!I29</f>
        <v>0</v>
      </c>
      <c r="J24" s="198">
        <f>+[1]D_Est_Org_Q8!J29</f>
        <v>5.2779999999999996</v>
      </c>
      <c r="K24" s="198">
        <f>+[1]D_Est_Org_Q8!K29</f>
        <v>0</v>
      </c>
      <c r="L24" s="198">
        <f>+[1]D_Est_Org_Q8!L29</f>
        <v>0</v>
      </c>
      <c r="M24" s="198">
        <f>+[1]D_Est_Org_Q8!M29</f>
        <v>0</v>
      </c>
      <c r="N24" s="198">
        <f>+[1]D_Est_Org_Q8!N29</f>
        <v>5.2779999999999996</v>
      </c>
    </row>
    <row r="25" spans="2:14" ht="15" customHeight="1">
      <c r="B25" s="195"/>
      <c r="C25" s="104" t="str">
        <f>+IF(Índice!$D$2=1,"Subsídios","Subsidies")</f>
        <v>Subsídios</v>
      </c>
      <c r="D25" s="198">
        <f>+[1]D_Est_Org_Q8!D30</f>
        <v>0</v>
      </c>
      <c r="E25" s="198">
        <f>+[1]D_Est_Org_Q8!E30</f>
        <v>0</v>
      </c>
      <c r="F25" s="198">
        <f>+[1]D_Est_Org_Q8!F30</f>
        <v>0</v>
      </c>
      <c r="G25" s="198">
        <f>+[1]D_Est_Org_Q8!G30</f>
        <v>0</v>
      </c>
      <c r="H25" s="198">
        <f>+[1]D_Est_Org_Q8!H30</f>
        <v>0</v>
      </c>
      <c r="I25" s="198">
        <f>+[1]D_Est_Org_Q8!I30</f>
        <v>0</v>
      </c>
      <c r="J25" s="198">
        <f>+[1]D_Est_Org_Q8!J30</f>
        <v>0</v>
      </c>
      <c r="K25" s="198">
        <f>+[1]D_Est_Org_Q8!K30</f>
        <v>0</v>
      </c>
      <c r="L25" s="198">
        <f>+[1]D_Est_Org_Q8!L30</f>
        <v>0</v>
      </c>
      <c r="M25" s="198">
        <f>+[1]D_Est_Org_Q8!M30</f>
        <v>1200.9345800000001</v>
      </c>
      <c r="N25" s="198">
        <f>+[1]D_Est_Org_Q8!N30</f>
        <v>1200.9345800000001</v>
      </c>
    </row>
    <row r="26" spans="2:14" ht="15" customHeight="1">
      <c r="B26" s="195"/>
      <c r="C26" s="104" t="str">
        <f>+IF(Índice!$D$2=1,"Outras despesas correntes","Other current expenditures")</f>
        <v>Outras despesas correntes</v>
      </c>
      <c r="D26" s="198">
        <f>+[1]D_Est_Org_Q8!D31</f>
        <v>0</v>
      </c>
      <c r="E26" s="198">
        <f>+[1]D_Est_Org_Q8!E31</f>
        <v>0</v>
      </c>
      <c r="F26" s="198">
        <f>+[1]D_Est_Org_Q8!F31</f>
        <v>4.9307600000000003</v>
      </c>
      <c r="G26" s="198">
        <f>+[1]D_Est_Org_Q8!G31</f>
        <v>5.9779499999999999</v>
      </c>
      <c r="H26" s="198">
        <f>+[1]D_Est_Org_Q8!H31</f>
        <v>0.16</v>
      </c>
      <c r="I26" s="198">
        <f>+[1]D_Est_Org_Q8!I31</f>
        <v>0</v>
      </c>
      <c r="J26" s="198">
        <f>+[1]D_Est_Org_Q8!J31</f>
        <v>141.58264000000003</v>
      </c>
      <c r="K26" s="198">
        <f>+[1]D_Est_Org_Q8!K31</f>
        <v>4.1789100000000001</v>
      </c>
      <c r="L26" s="198">
        <f>+[1]D_Est_Org_Q8!L31</f>
        <v>0</v>
      </c>
      <c r="M26" s="198">
        <f>+[1]D_Est_Org_Q8!M31</f>
        <v>5.6727100000000004</v>
      </c>
      <c r="N26" s="198">
        <f>+[1]D_Est_Org_Q8!N31</f>
        <v>162.50297000000003</v>
      </c>
    </row>
    <row r="27" spans="2:14" ht="24.95" customHeight="1">
      <c r="B27" s="195"/>
      <c r="C27" s="202" t="str">
        <f>+IF(Índice!$D$2=1,"Despesa de capital","Capital expenditure")</f>
        <v>Despesa de capital</v>
      </c>
      <c r="D27" s="32">
        <f>+[1]D_Est_Org_Q8!D32</f>
        <v>50</v>
      </c>
      <c r="E27" s="32">
        <f>+[1]D_Est_Org_Q8!E32</f>
        <v>0</v>
      </c>
      <c r="F27" s="32">
        <f>+[1]D_Est_Org_Q8!F32</f>
        <v>285.89960000000002</v>
      </c>
      <c r="G27" s="32">
        <f>+[1]D_Est_Org_Q8!G32</f>
        <v>81.878560000000007</v>
      </c>
      <c r="H27" s="32">
        <f>+[1]D_Est_Org_Q8!H32</f>
        <v>35.577199999999998</v>
      </c>
      <c r="I27" s="32">
        <f>+[1]D_Est_Org_Q8!I32</f>
        <v>922.08957999999996</v>
      </c>
      <c r="J27" s="32">
        <f>+[1]D_Est_Org_Q8!J32</f>
        <v>906.89603999999997</v>
      </c>
      <c r="K27" s="32">
        <f>+[1]D_Est_Org_Q8!K32</f>
        <v>785.89264000000003</v>
      </c>
      <c r="L27" s="32">
        <f>+[1]D_Est_Org_Q8!L32</f>
        <v>2925.53206</v>
      </c>
      <c r="M27" s="32">
        <f>+[1]D_Est_Org_Q8!M32</f>
        <v>806.97708</v>
      </c>
      <c r="N27" s="32">
        <f>+[1]D_Est_Org_Q8!N32</f>
        <v>6800.7427600000001</v>
      </c>
    </row>
    <row r="28" spans="2:14" ht="15" customHeight="1">
      <c r="B28" s="195"/>
      <c r="C28" s="104" t="str">
        <f>+IF(Índice!$D$2=1,"Investimento","Investment")</f>
        <v>Investimento</v>
      </c>
      <c r="D28" s="198">
        <f>+[1]D_Est_Org_Q8!D33</f>
        <v>0</v>
      </c>
      <c r="E28" s="198">
        <f>+[1]D_Est_Org_Q8!E33</f>
        <v>0</v>
      </c>
      <c r="F28" s="198">
        <f>+[1]D_Est_Org_Q8!F33</f>
        <v>285.89960000000002</v>
      </c>
      <c r="G28" s="198">
        <f>+[1]D_Est_Org_Q8!G33</f>
        <v>50.741660000000003</v>
      </c>
      <c r="H28" s="198">
        <f>+[1]D_Est_Org_Q8!H33</f>
        <v>0</v>
      </c>
      <c r="I28" s="198">
        <f>+[1]D_Est_Org_Q8!I33</f>
        <v>8.6559999999999998E-2</v>
      </c>
      <c r="J28" s="198">
        <f>+[1]D_Est_Org_Q8!J33</f>
        <v>106.89604000000001</v>
      </c>
      <c r="K28" s="198">
        <f>+[1]D_Est_Org_Q8!K33</f>
        <v>59.810360000000003</v>
      </c>
      <c r="L28" s="198">
        <f>+[1]D_Est_Org_Q8!L33</f>
        <v>154.88898</v>
      </c>
      <c r="M28" s="198">
        <f>+[1]D_Est_Org_Q8!M33</f>
        <v>691.05560000000003</v>
      </c>
      <c r="N28" s="198">
        <f>+[1]D_Est_Org_Q8!N33</f>
        <v>1349.3788</v>
      </c>
    </row>
    <row r="29" spans="2:14" ht="15" customHeight="1">
      <c r="C29" s="104" t="str">
        <f>+IF(Índice!$D$2=1,"Transferências capital","Capital transfers")</f>
        <v>Transferências capital</v>
      </c>
      <c r="D29" s="196">
        <f>+[1]D_Est_Org_Q8!D34</f>
        <v>50</v>
      </c>
      <c r="E29" s="196">
        <f>+[1]D_Est_Org_Q8!E34</f>
        <v>0</v>
      </c>
      <c r="F29" s="196">
        <f>+[1]D_Est_Org_Q8!F34</f>
        <v>0</v>
      </c>
      <c r="G29" s="196">
        <f>+[1]D_Est_Org_Q8!G34</f>
        <v>31.136900000000001</v>
      </c>
      <c r="H29" s="196">
        <f>+[1]D_Est_Org_Q8!H34</f>
        <v>35.577199999999998</v>
      </c>
      <c r="I29" s="196">
        <f>+[1]D_Est_Org_Q8!I34</f>
        <v>922.00301999999999</v>
      </c>
      <c r="J29" s="196">
        <f>+[1]D_Est_Org_Q8!J34</f>
        <v>800</v>
      </c>
      <c r="K29" s="196">
        <f>+[1]D_Est_Org_Q8!K34</f>
        <v>726.08228000000008</v>
      </c>
      <c r="L29" s="196">
        <f>+[1]D_Est_Org_Q8!L34</f>
        <v>2770.6430799999998</v>
      </c>
      <c r="M29" s="196">
        <f>+[1]D_Est_Org_Q8!M34</f>
        <v>115.92148</v>
      </c>
      <c r="N29" s="196">
        <f>+[1]D_Est_Org_Q8!N34</f>
        <v>5451.3639599999997</v>
      </c>
    </row>
    <row r="30" spans="2:14" ht="15" customHeight="1">
      <c r="C30" s="109" t="str">
        <f>IF(Índice!$D$2=1,"Administração Pública","Public Administration")</f>
        <v>Administração Pública</v>
      </c>
      <c r="D30" s="200">
        <f>+[1]D_Est_Org_Q8!D35</f>
        <v>50</v>
      </c>
      <c r="E30" s="200">
        <f>+[1]D_Est_Org_Q8!E35</f>
        <v>0</v>
      </c>
      <c r="F30" s="200">
        <f>+[1]D_Est_Org_Q8!F35</f>
        <v>0</v>
      </c>
      <c r="G30" s="200">
        <f>+[1]D_Est_Org_Q8!G35</f>
        <v>31.136900000000001</v>
      </c>
      <c r="H30" s="200">
        <f>+[1]D_Est_Org_Q8!H35</f>
        <v>35.577199999999998</v>
      </c>
      <c r="I30" s="200">
        <f>+[1]D_Est_Org_Q8!I35</f>
        <v>922.00301999999999</v>
      </c>
      <c r="J30" s="200">
        <f>+[1]D_Est_Org_Q8!J35</f>
        <v>800</v>
      </c>
      <c r="K30" s="200">
        <f>+[1]D_Est_Org_Q8!K35</f>
        <v>726.08228000000008</v>
      </c>
      <c r="L30" s="200">
        <f>+[1]D_Est_Org_Q8!L35</f>
        <v>0</v>
      </c>
      <c r="M30" s="200">
        <f>+[1]D_Est_Org_Q8!M35</f>
        <v>115.92148</v>
      </c>
      <c r="N30" s="200">
        <f>+[1]D_Est_Org_Q8!N35</f>
        <v>2680.7208799999999</v>
      </c>
    </row>
    <row r="31" spans="2:14" ht="15" customHeight="1">
      <c r="C31" s="201" t="str">
        <f>IF(Índice!$D$2=1,"Administração Central","Central Administration")</f>
        <v>Administração Central</v>
      </c>
      <c r="D31" s="198">
        <f>+[1]D_Est_Org_Q8!D36</f>
        <v>0</v>
      </c>
      <c r="E31" s="198">
        <f>+[1]D_Est_Org_Q8!E36</f>
        <v>0</v>
      </c>
      <c r="F31" s="198">
        <f>+[1]D_Est_Org_Q8!F36</f>
        <v>0</v>
      </c>
      <c r="G31" s="198">
        <f>+[1]D_Est_Org_Q8!G36</f>
        <v>0</v>
      </c>
      <c r="H31" s="198">
        <f>+[1]D_Est_Org_Q8!H36</f>
        <v>0</v>
      </c>
      <c r="I31" s="198">
        <f>+[1]D_Est_Org_Q8!I36</f>
        <v>0</v>
      </c>
      <c r="J31" s="198">
        <f>+[1]D_Est_Org_Q8!J36</f>
        <v>0</v>
      </c>
      <c r="K31" s="198">
        <f>+[1]D_Est_Org_Q8!K36</f>
        <v>726.08228000000008</v>
      </c>
      <c r="L31" s="198">
        <f>+[1]D_Est_Org_Q8!L36</f>
        <v>0</v>
      </c>
      <c r="M31" s="198">
        <f>+[1]D_Est_Org_Q8!M36</f>
        <v>0</v>
      </c>
      <c r="N31" s="198">
        <f>+[1]D_Est_Org_Q8!N36</f>
        <v>726.08228000000008</v>
      </c>
    </row>
    <row r="32" spans="2:14" ht="15" customHeight="1">
      <c r="C32" s="201" t="str">
        <f>IF(Índice!$D$2=1,"Administração Regional","Regional Administration")</f>
        <v>Administração Regional</v>
      </c>
      <c r="D32" s="198">
        <f>+[1]D_Est_Org_Q8!D37</f>
        <v>50</v>
      </c>
      <c r="E32" s="198">
        <f>+[1]D_Est_Org_Q8!E37</f>
        <v>0</v>
      </c>
      <c r="F32" s="198">
        <f>+[1]D_Est_Org_Q8!F37</f>
        <v>0</v>
      </c>
      <c r="G32" s="198">
        <f>+[1]D_Est_Org_Q8!G37</f>
        <v>31.136900000000001</v>
      </c>
      <c r="H32" s="198">
        <f>+[1]D_Est_Org_Q8!H37</f>
        <v>35.577199999999998</v>
      </c>
      <c r="I32" s="198">
        <f>+[1]D_Est_Org_Q8!I37</f>
        <v>922.00301999999999</v>
      </c>
      <c r="J32" s="198">
        <f>+[1]D_Est_Org_Q8!J37</f>
        <v>800</v>
      </c>
      <c r="K32" s="198">
        <f>+[1]D_Est_Org_Q8!K37</f>
        <v>0</v>
      </c>
      <c r="L32" s="198">
        <f>+[1]D_Est_Org_Q8!L37</f>
        <v>0</v>
      </c>
      <c r="M32" s="198">
        <f>+[1]D_Est_Org_Q8!M37</f>
        <v>115.92148</v>
      </c>
      <c r="N32" s="198">
        <f>+[1]D_Est_Org_Q8!N37</f>
        <v>1954.6386</v>
      </c>
    </row>
    <row r="33" spans="1:169" ht="15" customHeight="1">
      <c r="C33" s="201" t="str">
        <f>IF(Índice!$D$2=1,"Administração Local","Local Administration")</f>
        <v>Administração Local</v>
      </c>
      <c r="D33" s="198">
        <f>+[1]D_Est_Org_Q8!D38</f>
        <v>0</v>
      </c>
      <c r="E33" s="198">
        <f>+[1]D_Est_Org_Q8!E38</f>
        <v>0</v>
      </c>
      <c r="F33" s="198">
        <f>+[1]D_Est_Org_Q8!F38</f>
        <v>0</v>
      </c>
      <c r="G33" s="198">
        <f>+[1]D_Est_Org_Q8!G38</f>
        <v>0</v>
      </c>
      <c r="H33" s="198">
        <f>+[1]D_Est_Org_Q8!H38</f>
        <v>0</v>
      </c>
      <c r="I33" s="198">
        <f>+[1]D_Est_Org_Q8!I38</f>
        <v>0</v>
      </c>
      <c r="J33" s="198">
        <f>+[1]D_Est_Org_Q8!J38</f>
        <v>0</v>
      </c>
      <c r="K33" s="198">
        <f>+[1]D_Est_Org_Q8!K38</f>
        <v>0</v>
      </c>
      <c r="L33" s="198">
        <f>+[1]D_Est_Org_Q8!L38</f>
        <v>0</v>
      </c>
      <c r="M33" s="198">
        <f>+[1]D_Est_Org_Q8!M38</f>
        <v>0</v>
      </c>
      <c r="N33" s="198">
        <f>+[1]D_Est_Org_Q8!N38</f>
        <v>0</v>
      </c>
    </row>
    <row r="34" spans="1:169" ht="15" customHeight="1">
      <c r="C34" s="201" t="str">
        <f>+IF(Índice!$D$2=1,"Segurança social","Social security")</f>
        <v>Segurança social</v>
      </c>
      <c r="D34" s="198">
        <f>+[1]D_Est_Org_Q8!D39</f>
        <v>0</v>
      </c>
      <c r="E34" s="198">
        <f>+[1]D_Est_Org_Q8!E39</f>
        <v>0</v>
      </c>
      <c r="F34" s="198">
        <f>+[1]D_Est_Org_Q8!F39</f>
        <v>0</v>
      </c>
      <c r="G34" s="198">
        <f>+[1]D_Est_Org_Q8!G39</f>
        <v>0</v>
      </c>
      <c r="H34" s="198">
        <f>+[1]D_Est_Org_Q8!H39</f>
        <v>0</v>
      </c>
      <c r="I34" s="198">
        <f>+[1]D_Est_Org_Q8!I39</f>
        <v>0</v>
      </c>
      <c r="J34" s="198">
        <f>+[1]D_Est_Org_Q8!J39</f>
        <v>0</v>
      </c>
      <c r="K34" s="198">
        <f>+[1]D_Est_Org_Q8!K39</f>
        <v>0</v>
      </c>
      <c r="L34" s="198">
        <f>+[1]D_Est_Org_Q8!L39</f>
        <v>0</v>
      </c>
      <c r="M34" s="198">
        <f>+[1]D_Est_Org_Q8!M39</f>
        <v>0</v>
      </c>
      <c r="N34" s="198">
        <f>+[1]D_Est_Org_Q8!N39</f>
        <v>0</v>
      </c>
    </row>
    <row r="35" spans="1:169" ht="15" customHeight="1">
      <c r="C35" s="109" t="str">
        <f>+IF(Índice!$D$2=1,"Outras transferências de capital","Other capital transfers")</f>
        <v>Outras transferências de capital</v>
      </c>
      <c r="D35" s="200">
        <f>+[1]D_Est_Org_Q8!D40</f>
        <v>0</v>
      </c>
      <c r="E35" s="200">
        <f>+[1]D_Est_Org_Q8!E40</f>
        <v>0</v>
      </c>
      <c r="F35" s="200">
        <f>+[1]D_Est_Org_Q8!F40</f>
        <v>0</v>
      </c>
      <c r="G35" s="200">
        <f>+[1]D_Est_Org_Q8!G40</f>
        <v>0</v>
      </c>
      <c r="H35" s="200">
        <f>+[1]D_Est_Org_Q8!H40</f>
        <v>0</v>
      </c>
      <c r="I35" s="200">
        <f>+[1]D_Est_Org_Q8!I40</f>
        <v>0</v>
      </c>
      <c r="J35" s="200">
        <f>+[1]D_Est_Org_Q8!J40</f>
        <v>0</v>
      </c>
      <c r="K35" s="200">
        <f>+[1]D_Est_Org_Q8!K40</f>
        <v>0</v>
      </c>
      <c r="L35" s="200">
        <f>+[1]D_Est_Org_Q8!L40</f>
        <v>2770.6430799999998</v>
      </c>
      <c r="M35" s="200">
        <f>+[1]D_Est_Org_Q8!M40</f>
        <v>0</v>
      </c>
      <c r="N35" s="200">
        <f>+[1]D_Est_Org_Q8!N40</f>
        <v>2770.6430799999998</v>
      </c>
    </row>
    <row r="36" spans="1:169" ht="15" customHeight="1">
      <c r="C36" s="132" t="s">
        <v>10</v>
      </c>
      <c r="D36" s="203">
        <f>+[1]D_Est_Org_Q8!D46</f>
        <v>0</v>
      </c>
      <c r="E36" s="203">
        <f>+[1]D_Est_Org_Q8!E46</f>
        <v>0</v>
      </c>
      <c r="F36" s="203">
        <f>+[1]D_Est_Org_Q8!F46</f>
        <v>0</v>
      </c>
      <c r="G36" s="203">
        <f>+[1]D_Est_Org_Q8!G46</f>
        <v>0</v>
      </c>
      <c r="H36" s="203">
        <f>+[1]D_Est_Org_Q8!H46</f>
        <v>0</v>
      </c>
      <c r="I36" s="203">
        <f>+[1]D_Est_Org_Q8!I46</f>
        <v>0</v>
      </c>
      <c r="J36" s="203">
        <f>+[1]D_Est_Org_Q8!J46</f>
        <v>0</v>
      </c>
      <c r="K36" s="203">
        <f>+[1]D_Est_Org_Q8!K46</f>
        <v>0</v>
      </c>
      <c r="L36" s="203">
        <f>+[1]D_Est_Org_Q8!L46</f>
        <v>0</v>
      </c>
      <c r="M36" s="203">
        <f>+[1]D_Est_Org_Q8!M46</f>
        <v>0</v>
      </c>
      <c r="N36" s="203">
        <f>+[1]D_Est_Org_Q8!N46</f>
        <v>0</v>
      </c>
    </row>
    <row r="37" spans="1:169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1:169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f>+[1]D_Est_Org_Q8!D48</f>
        <v>2510</v>
      </c>
      <c r="E38" s="204">
        <f>+[1]D_Est_Org_Q8!E48</f>
        <v>316.19553000000002</v>
      </c>
      <c r="F38" s="204">
        <f>+[1]D_Est_Org_Q8!F48</f>
        <v>4593.1455500000002</v>
      </c>
      <c r="G38" s="204">
        <f>+[1]D_Est_Org_Q8!G48</f>
        <v>64699.050620000002</v>
      </c>
      <c r="H38" s="204">
        <f>+[1]D_Est_Org_Q8!H48</f>
        <v>3052.4634999999994</v>
      </c>
      <c r="I38" s="204">
        <f>+[1]D_Est_Org_Q8!I48</f>
        <v>42824.524899999997</v>
      </c>
      <c r="J38" s="204">
        <f>+[1]D_Est_Org_Q8!J48</f>
        <v>40393.997459999999</v>
      </c>
      <c r="K38" s="204">
        <f>+[1]D_Est_Org_Q8!K48</f>
        <v>4349.629210000001</v>
      </c>
      <c r="L38" s="204">
        <f>+[1]D_Est_Org_Q8!L48</f>
        <v>6336.2491800000007</v>
      </c>
      <c r="M38" s="204">
        <f>+[1]D_Est_Org_Q8!M48</f>
        <v>38713.127649999995</v>
      </c>
      <c r="N38" s="204">
        <f>+[1]D_Est_Org_Q8!N48</f>
        <v>207788.3836</v>
      </c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</row>
    <row r="39" spans="1:169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1:169">
      <c r="C40" s="207" t="str">
        <f>+IF(Índice!$D$2=1,"Ativos financeiros","Financial assets")</f>
        <v>Ativos financeiros</v>
      </c>
      <c r="D40" s="208">
        <f>+[1]D_Est_Org_Q8!D50</f>
        <v>0</v>
      </c>
      <c r="E40" s="208">
        <f>+[1]D_Est_Org_Q8!E50</f>
        <v>0</v>
      </c>
      <c r="F40" s="208">
        <f>+[1]D_Est_Org_Q8!F50</f>
        <v>0</v>
      </c>
      <c r="G40" s="208">
        <f>+[1]D_Est_Org_Q8!G50</f>
        <v>0</v>
      </c>
      <c r="H40" s="208">
        <f>+[1]D_Est_Org_Q8!H50</f>
        <v>0</v>
      </c>
      <c r="I40" s="208">
        <f>+[1]D_Est_Org_Q8!I50</f>
        <v>0</v>
      </c>
      <c r="J40" s="208">
        <f>+[1]D_Est_Org_Q8!J50</f>
        <v>0</v>
      </c>
      <c r="K40" s="208">
        <f>+[1]D_Est_Org_Q8!K50</f>
        <v>0</v>
      </c>
      <c r="L40" s="208">
        <f>+[1]D_Est_Org_Q8!L50</f>
        <v>0</v>
      </c>
      <c r="M40" s="208">
        <f>+[1]D_Est_Org_Q8!M50</f>
        <v>0</v>
      </c>
      <c r="N40" s="208">
        <f>+[1]D_Est_Org_Q8!N50</f>
        <v>0</v>
      </c>
    </row>
    <row r="41" spans="1:169">
      <c r="C41" s="209" t="str">
        <f>+IF(Índice!$D$2=1,"Passivos financeiros","Financial liabilities")</f>
        <v>Passivos financeiros</v>
      </c>
      <c r="D41" s="200">
        <f>+[1]D_Est_Org_Q8!D51</f>
        <v>0</v>
      </c>
      <c r="E41" s="200">
        <f>+[1]D_Est_Org_Q8!E51</f>
        <v>0</v>
      </c>
      <c r="F41" s="200">
        <f>+[1]D_Est_Org_Q8!F51</f>
        <v>0</v>
      </c>
      <c r="G41" s="200">
        <f>+[1]D_Est_Org_Q8!G51</f>
        <v>0</v>
      </c>
      <c r="H41" s="200">
        <f>+[1]D_Est_Org_Q8!H51</f>
        <v>0</v>
      </c>
      <c r="I41" s="200">
        <f>+[1]D_Est_Org_Q8!I51</f>
        <v>0</v>
      </c>
      <c r="J41" s="200">
        <f>+[1]D_Est_Org_Q8!J51</f>
        <v>44631.723090000007</v>
      </c>
      <c r="K41" s="200">
        <f>+[1]D_Est_Org_Q8!K51</f>
        <v>0</v>
      </c>
      <c r="L41" s="200">
        <f>+[1]D_Est_Org_Q8!L51</f>
        <v>0</v>
      </c>
      <c r="M41" s="200">
        <f>+[1]D_Est_Org_Q8!M51</f>
        <v>0</v>
      </c>
      <c r="N41" s="200">
        <f>+[1]D_Est_Org_Q8!N51</f>
        <v>44631.723090000007</v>
      </c>
    </row>
    <row r="42" spans="1:169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</row>
    <row r="43" spans="1:169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</row>
    <row r="44" spans="1:169" ht="31.5" customHeight="1">
      <c r="C44" s="212" t="str">
        <f>+IF(Índice!$D$2=1,"Operações extraorçamentais","Extra-budgetary operations")</f>
        <v>Operações extraorçamentais</v>
      </c>
      <c r="D44" s="213">
        <f>+[1]D_Est_Org_Q8!D54</f>
        <v>0</v>
      </c>
      <c r="E44" s="213">
        <f>+[1]D_Est_Org_Q8!E54</f>
        <v>0</v>
      </c>
      <c r="F44" s="213">
        <f>+[1]D_Est_Org_Q8!F54</f>
        <v>0</v>
      </c>
      <c r="G44" s="213">
        <f>+[1]D_Est_Org_Q8!G54</f>
        <v>0</v>
      </c>
      <c r="H44" s="213">
        <f>+[1]D_Est_Org_Q8!H54</f>
        <v>0</v>
      </c>
      <c r="I44" s="213">
        <f>+[1]D_Est_Org_Q8!I54</f>
        <v>0</v>
      </c>
      <c r="J44" s="213">
        <f>+[1]D_Est_Org_Q8!J54</f>
        <v>0</v>
      </c>
      <c r="K44" s="213">
        <f>+[1]D_Est_Org_Q8!K54</f>
        <v>0</v>
      </c>
      <c r="L44" s="213">
        <f>+[1]D_Est_Org_Q8!L54</f>
        <v>0</v>
      </c>
      <c r="M44" s="213">
        <f>+[1]D_Est_Org_Q8!M54</f>
        <v>0</v>
      </c>
      <c r="N44" s="213">
        <f>+[1]D_Est_Org_Q8!N54</f>
        <v>9155.3003500000013</v>
      </c>
    </row>
    <row r="45" spans="1:169" hidden="1">
      <c r="C45" s="214">
        <v>0</v>
      </c>
      <c r="D45" s="215">
        <v>0</v>
      </c>
      <c r="E45" s="215">
        <v>0</v>
      </c>
      <c r="F45" s="215">
        <v>0</v>
      </c>
      <c r="G45" s="215"/>
      <c r="H45" s="215"/>
      <c r="I45" s="215"/>
      <c r="J45" s="215">
        <v>1</v>
      </c>
      <c r="K45" s="215">
        <v>2</v>
      </c>
      <c r="L45" s="215"/>
      <c r="M45" s="215">
        <v>5</v>
      </c>
      <c r="N45" s="215">
        <v>7</v>
      </c>
    </row>
    <row r="46" spans="1:169">
      <c r="C46" s="333" t="str">
        <f>+IF(Índice!$D$2=1,"Fonte: Secretaria Regional das Finanças","Source: Regional Finance Secretariat")</f>
        <v>Fonte: Secretaria Regional das Finanças</v>
      </c>
      <c r="D46" s="333" t="str">
        <f>+IF(Índice!$D$2="PT","Fonte: Vice-Presidência do Governo Regional","Source: Vice-Presidency of the Regional Government")</f>
        <v>Source: Vice-Presidency of the Regional Government</v>
      </c>
      <c r="E46" s="333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  <c r="N46" s="198"/>
    </row>
    <row r="47" spans="1:169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1:169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3:14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3:14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3:14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3:14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4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</row>
    <row r="54" spans="3:14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</row>
    <row r="55" spans="3:14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</row>
    <row r="56" spans="3:14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</row>
    <row r="57" spans="3:14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</row>
    <row r="58" spans="3:14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</row>
    <row r="59" spans="3:14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</row>
    <row r="60" spans="3:14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</row>
    <row r="61" spans="3:14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</row>
    <row r="62" spans="3:14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</row>
    <row r="63" spans="3:14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</row>
    <row r="64" spans="3:14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</row>
    <row r="65" spans="3:14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</row>
    <row r="66" spans="3:14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</row>
    <row r="67" spans="3:14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</row>
    <row r="68" spans="3:14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</row>
    <row r="69" spans="3:14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</row>
    <row r="70" spans="3:14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</row>
    <row r="71" spans="3:14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</row>
    <row r="72" spans="3:14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</row>
    <row r="73" spans="3:14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</row>
    <row r="74" spans="3:14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</row>
    <row r="75" spans="3:14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</row>
    <row r="76" spans="3:14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</row>
    <row r="77" spans="3:14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</row>
    <row r="78" spans="3:14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</row>
    <row r="79" spans="3:14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</row>
    <row r="80" spans="3:14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</row>
    <row r="81" spans="3:14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</row>
    <row r="82" spans="3:14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</row>
    <row r="83" spans="3:14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</row>
    <row r="84" spans="3:14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</row>
    <row r="85" spans="3:14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</row>
    <row r="86" spans="3:14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P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E3" sqref="E3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(janeiro-fevereiro)","TABLE IX - RPEs global balance (january-february)")</f>
        <v>QUADRO IX - Saldo Global do Subsetor - EPR (janeiro-fevereiro)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f>+'[1]Saldo_Global EPR_Q9'!C3</f>
        <v>2025</v>
      </c>
      <c r="E3" s="173">
        <f>+'[1]Saldo_Global EPR_Q9'!D3</f>
        <v>2026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f>+'[1]Saldo_Global EPR_Q9'!C5</f>
        <v>5023.4623599999613</v>
      </c>
      <c r="E5" s="82">
        <f>+'[1]Saldo_Global EPR_Q9'!D5</f>
        <v>11770.07564000001</v>
      </c>
    </row>
    <row r="6" spans="2:7">
      <c r="B6" s="29"/>
      <c r="C6" s="103"/>
      <c r="D6" s="103"/>
      <c r="E6" s="103"/>
    </row>
    <row r="7" spans="2:7">
      <c r="B7" s="29"/>
      <c r="C7" s="333" t="str">
        <f>+IF(Índice!$D$2=1,"Fonte: Secretaria Regional das Finanças","Source: Regional Finance Secretariat")</f>
        <v>Fonte: Secretaria Regional das Finanças</v>
      </c>
      <c r="D7" s="333" t="str">
        <f>+IF(Índice!$D$2="PT","Fonte: Vice-Presidência do Governo Regional","Source: Vice-Presidency of the Regional Government")</f>
        <v>Source: Vice-Presidency of the Regional Government</v>
      </c>
      <c r="E7" s="333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D8" sqref="D8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4" t="str">
        <f>+IF(Índice!$D$2=1,"QUADRO X - Execução orçamental dos Serviços e Fundos Autónomos e EPR (janeiro-fevereiro)","TABLE X - ASFs and RPEs budget execution (january-february)")</f>
        <v>QUADRO X - Execução orçamental dos Serviços e Fundos Autónomos e EPR (janeiro-fevereiro)</v>
      </c>
      <c r="D2" s="335"/>
      <c r="E2" s="335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f>+'[1]SFA acumulado_Q10_11'!D84</f>
        <v>5215.0754700000107</v>
      </c>
      <c r="E4" s="98">
        <f>+'[1]SFA acumulado_Q10_11'!E84</f>
        <v>11770.07564000001</v>
      </c>
      <c r="F4" s="98">
        <f>+'[1]SFA acumulado_Q10_11'!F84</f>
        <v>16985.151110000021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f>+'[1]SFA acumulado_Q10_11'!D87</f>
        <v>37248.126879999996</v>
      </c>
      <c r="E7" s="74">
        <f>+'[1]SFA acumulado_Q10_11'!E87</f>
        <v>21785.408549999996</v>
      </c>
      <c r="F7" s="74">
        <f>+'[1]SFA acumulado_Q10_11'!F87</f>
        <v>59033.535429999989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f>+'[1]SFA acumulado_Q10_11'!D88</f>
        <v>5215.8614000000107</v>
      </c>
      <c r="E8" s="74">
        <f>+'[1]SFA acumulado_Q10_11'!E88</f>
        <v>11770.48671000001</v>
      </c>
      <c r="F8" s="74">
        <f>+'[1]SFA acumulado_Q10_11'!F88</f>
        <v>16986.348110000021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f>+'[1]SFA acumulado_Q10_11'!D89</f>
        <v>4396.9540400000114</v>
      </c>
      <c r="E9" s="74">
        <f>+'[1]SFA acumulado_Q10_11'!E89</f>
        <v>10510.170660000007</v>
      </c>
      <c r="F9" s="74">
        <f>+'[1]SFA acumulado_Q10_11'!F89</f>
        <v>14907.124700000015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f>+'[1]SFA acumulado_Q10_11'!D90</f>
        <v>818.12142999999992</v>
      </c>
      <c r="E10" s="74">
        <f>+'[1]SFA acumulado_Q10_11'!E90</f>
        <v>1259.9049800000003</v>
      </c>
      <c r="F10" s="74">
        <f>+'[1]SFA acumulado_Q10_11'!F90</f>
        <v>2078.0264100000004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3" t="str">
        <f>+IF(Índice!$D$2=1,"Fonte: Secretaria Regional das Finanças","Source: Regional Finance Secretariat")</f>
        <v>Fonte: Secretaria Regional das Finanças</v>
      </c>
      <c r="D12" s="333" t="str">
        <f>+IF(Índice!$D$2="PT","Fonte: Vice-Presidência do Governo Regional","Source: Vice-Presidency of the Regional Government")</f>
        <v>Source: Vice-Presidency of the Regional Government</v>
      </c>
      <c r="E12" s="333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E3" sqref="E3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(janeiro-fevereiro)","TABLE XI - ASFs and RPEs budget execution (january-february)")</f>
        <v>QUADRO XI - Execução orçamental dos Serviços e Fundos Autónomos e EPR (janeiro-fevereiro)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f>+'[1]SFA acumulado_Q10_11'!D7</f>
        <v>41645.766860000003</v>
      </c>
      <c r="E4" s="108">
        <f>+'[1]SFA acumulado_Q10_11'!E7</f>
        <v>32103.394760000003</v>
      </c>
      <c r="F4" s="108">
        <f>+'[1]SFA acumulado_Q10_11'!F7</f>
        <v>73749.161619999999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f>+'[1]SFA acumulado_Q10_11'!D8</f>
        <v>0</v>
      </c>
      <c r="E5" s="74">
        <f>+'[1]SFA acumulado_Q10_11'!E8</f>
        <v>0</v>
      </c>
      <c r="F5" s="74">
        <f>+'[1]SFA acumulado_Q10_11'!F8</f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f>+'[1]SFA acumulado_Q10_11'!D9</f>
        <v>0</v>
      </c>
      <c r="E6" s="74">
        <f>+'[1]SFA acumulado_Q10_11'!E9</f>
        <v>0</v>
      </c>
      <c r="F6" s="74">
        <f>+'[1]SFA acumulado_Q10_11'!F9</f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f>+'[1]SFA acumulado_Q10_11'!D10</f>
        <v>0</v>
      </c>
      <c r="E7" s="74">
        <f>+'[1]SFA acumulado_Q10_11'!E10</f>
        <v>0</v>
      </c>
      <c r="F7" s="74">
        <f>+'[1]SFA acumulado_Q10_11'!F10</f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f>+'[1]SFA acumulado_Q10_11'!D11</f>
        <v>896.81236000000001</v>
      </c>
      <c r="E8" s="74">
        <f>+'[1]SFA acumulado_Q10_11'!E11</f>
        <v>1050.3433200000002</v>
      </c>
      <c r="F8" s="74">
        <f>+'[1]SFA acumulado_Q10_11'!F11</f>
        <v>1947.1556800000003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f>+'[1]SFA acumulado_Q10_11'!D12</f>
        <v>40464.844749999997</v>
      </c>
      <c r="E9" s="74">
        <f>+'[1]SFA acumulado_Q10_11'!E12</f>
        <v>28610.700140000004</v>
      </c>
      <c r="F9" s="74">
        <f>+'[1]SFA acumulado_Q10_11'!F12</f>
        <v>69075.544890000005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f>+'[1]SFA acumulado_Q10_11'!D13</f>
        <v>3620.1388199999997</v>
      </c>
      <c r="E10" s="74">
        <f>+'[1]SFA acumulado_Q10_11'!E13</f>
        <v>342.32373000000001</v>
      </c>
      <c r="F10" s="74">
        <f>+'[1]SFA acumulado_Q10_11'!F13</f>
        <v>3962.4625499999997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f>+'[1]SFA acumulado_Q10_11'!D14</f>
        <v>36675.116869999998</v>
      </c>
      <c r="E11" s="74">
        <f>+'[1]SFA acumulado_Q10_11'!E14</f>
        <v>28268.376410000004</v>
      </c>
      <c r="F11" s="74">
        <f>+'[1]SFA acumulado_Q10_11'!F14</f>
        <v>64943.493280000002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f>+'[1]SFA acumulado_Q10_11'!D15</f>
        <v>259.14598000000007</v>
      </c>
      <c r="E12" s="74">
        <f>+'[1]SFA acumulado_Q10_11'!E15</f>
        <v>605.95380000000011</v>
      </c>
      <c r="F12" s="74">
        <f>+'[1]SFA acumulado_Q10_11'!F15</f>
        <v>865.09978000000024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f>+'[1]SFA acumulado_Q10_11'!D16</f>
        <v>24.963770000000004</v>
      </c>
      <c r="E13" s="74">
        <f>+'[1]SFA acumulado_Q10_11'!E16</f>
        <v>1836.3974999999998</v>
      </c>
      <c r="F13" s="74">
        <f>+'[1]SFA acumulado_Q10_11'!F16</f>
        <v>1861.3612699999999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f>+'[1]SFA acumulado_Q10_11'!D17</f>
        <v>818.22141999999997</v>
      </c>
      <c r="E14" s="83">
        <f>+'[1]SFA acumulado_Q10_11'!E17</f>
        <v>1452.5005000000003</v>
      </c>
      <c r="F14" s="83">
        <f>+'[1]SFA acumulado_Q10_11'!F17</f>
        <v>2270.7219200000004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f>+'[1]SFA acumulado_Q10_11'!D18</f>
        <v>0</v>
      </c>
      <c r="E15" s="34">
        <f>+'[1]SFA acumulado_Q10_11'!E18</f>
        <v>17.928000000000001</v>
      </c>
      <c r="F15" s="34">
        <f>+'[1]SFA acumulado_Q10_11'!F18</f>
        <v>17.928000000000001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f>+'[1]SFA acumulado_Q10_11'!D19</f>
        <v>802.798</v>
      </c>
      <c r="E16" s="34">
        <f>+'[1]SFA acumulado_Q10_11'!E19</f>
        <v>1430.3252600000001</v>
      </c>
      <c r="F16" s="74">
        <f>+'[1]SFA acumulado_Q10_11'!F19</f>
        <v>2233.1232600000003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f>+'[1]SFA acumulado_Q10_11'!D20</f>
        <v>134.798</v>
      </c>
      <c r="E17" s="34">
        <f>+'[1]SFA acumulado_Q10_11'!E20</f>
        <v>919.50798999999995</v>
      </c>
      <c r="F17" s="74">
        <f>+'[1]SFA acumulado_Q10_11'!F20</f>
        <v>1054.3059899999998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f>+'[1]SFA acumulado_Q10_11'!D21</f>
        <v>668</v>
      </c>
      <c r="E18" s="74">
        <f>+'[1]SFA acumulado_Q10_11'!E21</f>
        <v>510.81727000000012</v>
      </c>
      <c r="F18" s="74">
        <f>+'[1]SFA acumulado_Q10_11'!F21</f>
        <v>1178.81727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f>+'[1]SFA acumulado_Q10_11'!D22</f>
        <v>0</v>
      </c>
      <c r="E19" s="74">
        <f>+'[1]SFA acumulado_Q10_11'!E22</f>
        <v>1.69953</v>
      </c>
      <c r="F19" s="74">
        <f>+'[1]SFA acumulado_Q10_11'!F22</f>
        <v>1.69953</v>
      </c>
    </row>
    <row r="20" spans="2:6" ht="11.25" customHeight="1">
      <c r="C20" s="110" t="str">
        <f>+IF(Índice!$D$2=1,"Receita efetiva","Effective revenue")</f>
        <v>Receita efetiva</v>
      </c>
      <c r="D20" s="83">
        <f>+'[1]SFA acumulado_Q10_11'!D32</f>
        <v>42463.988280000005</v>
      </c>
      <c r="E20" s="83">
        <f>+'[1]SFA acumulado_Q10_11'!E32</f>
        <v>33555.895260000005</v>
      </c>
      <c r="F20" s="83">
        <f>+'[1]SFA acumulado_Q10_11'!F32</f>
        <v>76019.88354000001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f>+'[1]SFA acumulado_Q10_11'!D34</f>
        <v>37248.812819999992</v>
      </c>
      <c r="E22" s="83">
        <f>+'[1]SFA acumulado_Q10_11'!E34</f>
        <v>21593.224099999996</v>
      </c>
      <c r="F22" s="83">
        <f>+'[1]SFA acumulado_Q10_11'!F34</f>
        <v>58842.036919999984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f>+'[1]SFA acumulado_Q10_11'!D35</f>
        <v>4005.6411300000004</v>
      </c>
      <c r="E23" s="74">
        <f>+'[1]SFA acumulado_Q10_11'!E35</f>
        <v>17101.317029999995</v>
      </c>
      <c r="F23" s="74">
        <f>+'[1]SFA acumulado_Q10_11'!F35</f>
        <v>21106.958159999995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f>+'[1]SFA acumulado_Q10_11'!D36</f>
        <v>944.48815999999999</v>
      </c>
      <c r="E24" s="74">
        <f>+'[1]SFA acumulado_Q10_11'!E36</f>
        <v>3312.1797099999999</v>
      </c>
      <c r="F24" s="74">
        <f>+'[1]SFA acumulado_Q10_11'!F36</f>
        <v>4256.6678700000002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f>+'[1]SFA acumulado_Q10_11'!D37</f>
        <v>0.78593000000000002</v>
      </c>
      <c r="E25" s="74">
        <f>+'[1]SFA acumulado_Q10_11'!E37</f>
        <v>0.41107000000000005</v>
      </c>
      <c r="F25" s="74">
        <f>+'[1]SFA acumulado_Q10_11'!F37</f>
        <v>1.1970000000000001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f>+'[1]SFA acumulado_Q10_11'!D38</f>
        <v>30044.383079999992</v>
      </c>
      <c r="E26" s="74">
        <f>+'[1]SFA acumulado_Q10_11'!E38</f>
        <v>1130.18614</v>
      </c>
      <c r="F26" s="74">
        <f>+'[1]SFA acumulado_Q10_11'!F38</f>
        <v>31174.569219999994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f>+'[1]SFA acumulado_Q10_11'!D39</f>
        <v>416.59476000000001</v>
      </c>
      <c r="E27" s="74">
        <f>+'[1]SFA acumulado_Q10_11'!E39</f>
        <v>0</v>
      </c>
      <c r="F27" s="59">
        <f>+'[1]SFA acumulado_Q10_11'!F39</f>
        <v>416.59476000000001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f>+'[1]SFA acumulado_Q10_11'!D40</f>
        <v>29627.788319999992</v>
      </c>
      <c r="E28" s="74">
        <f>+'[1]SFA acumulado_Q10_11'!E40</f>
        <v>1130.18614</v>
      </c>
      <c r="F28" s="59">
        <f>+'[1]SFA acumulado_Q10_11'!F40</f>
        <v>30757.974459999994</v>
      </c>
    </row>
    <row r="29" spans="2:6" ht="11.25" customHeight="1">
      <c r="C29" s="104" t="str">
        <f>+IF(Índice!$D$2=1,"Subsídios","Subsidies")</f>
        <v>Subsídios</v>
      </c>
      <c r="D29" s="74">
        <f>+'[1]SFA acumulado_Q10_11'!D41</f>
        <v>2251.8731899999998</v>
      </c>
      <c r="E29" s="74">
        <f>+'[1]SFA acumulado_Q10_11'!E41</f>
        <v>0</v>
      </c>
      <c r="F29" s="74">
        <f>+'[1]SFA acumulado_Q10_11'!F41</f>
        <v>2251.8731899999998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f>+'[1]SFA acumulado_Q10_11'!D42</f>
        <v>1.6413300000000002</v>
      </c>
      <c r="E30" s="74">
        <f>+'[1]SFA acumulado_Q10_11'!E42</f>
        <v>49.13015</v>
      </c>
      <c r="F30" s="74">
        <f>+'[1]SFA acumulado_Q10_11'!F42</f>
        <v>50.771480000000004</v>
      </c>
    </row>
    <row r="31" spans="2:6" ht="11.25" customHeight="1">
      <c r="C31" s="110" t="str">
        <f>+IF(Índice!$D$2=1,"Despesa de capital","Capital expenditure")</f>
        <v>Despesa de capital</v>
      </c>
      <c r="D31" s="83">
        <f>+'[1]SFA acumulado_Q10_11'!D43</f>
        <v>9.9990000000000009E-2</v>
      </c>
      <c r="E31" s="83">
        <f>+'[1]SFA acumulado_Q10_11'!E43</f>
        <v>192.59552000000002</v>
      </c>
      <c r="F31" s="83">
        <f>+'[1]SFA acumulado_Q10_11'!F43</f>
        <v>192.69551000000001</v>
      </c>
    </row>
    <row r="32" spans="2:6" ht="11.25" customHeight="1">
      <c r="C32" s="104" t="str">
        <f>+IF(Índice!$D$2=1,"Investimento","Investment")</f>
        <v>Investimento</v>
      </c>
      <c r="D32" s="74">
        <f>+'[1]SFA acumulado_Q10_11'!D44</f>
        <v>9.9990000000000009E-2</v>
      </c>
      <c r="E32" s="74">
        <f>+'[1]SFA acumulado_Q10_11'!E44</f>
        <v>174.83552000000003</v>
      </c>
      <c r="F32" s="74">
        <f>+'[1]SFA acumulado_Q10_11'!F44</f>
        <v>174.93551000000002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f>+'[1]SFA acumulado_Q10_11'!D45</f>
        <v>0</v>
      </c>
      <c r="E33" s="74">
        <f>+'[1]SFA acumulado_Q10_11'!E45</f>
        <v>17.760000000000002</v>
      </c>
      <c r="F33" s="74">
        <f>+'[1]SFA acumulado_Q10_11'!F45</f>
        <v>17.760000000000002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f>+'[1]SFA acumulado_Q10_11'!D46</f>
        <v>0</v>
      </c>
      <c r="E34" s="59">
        <f>+'[1]SFA acumulado_Q10_11'!E46</f>
        <v>0</v>
      </c>
      <c r="F34" s="59">
        <f>+'[1]SFA acumulado_Q10_11'!F46</f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f>+'[1]SFA acumulado_Q10_11'!D48</f>
        <v>37248.912809999994</v>
      </c>
      <c r="E36" s="83">
        <f>+'[1]SFA acumulado_Q10_11'!E48</f>
        <v>21785.819619999995</v>
      </c>
      <c r="F36" s="83">
        <f>+'[1]SFA acumulado_Q10_11'!F48</f>
        <v>59034.732429999989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f>+'[1]SFA acumulado_Q10_11'!D50</f>
        <v>354.31900000000002</v>
      </c>
      <c r="E38" s="35">
        <f>+'[1]SFA acumulado_Q10_11'!E50</f>
        <v>0</v>
      </c>
      <c r="F38" s="35">
        <f>+'[1]SFA acumulado_Q10_11'!F50</f>
        <v>354.31900000000002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f>+'[1]SFA acumulado_Q10_11'!D51</f>
        <v>0</v>
      </c>
      <c r="E39" s="35">
        <f>+'[1]SFA acumulado_Q10_11'!E51</f>
        <v>0</v>
      </c>
      <c r="F39" s="35">
        <f>+'[1]SFA acumulado_Q10_11'!F51</f>
        <v>0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f>+'[1]SFA acumulado_Q10_11'!D52</f>
        <v>0</v>
      </c>
      <c r="E40" s="35">
        <f>+'[1]SFA acumulado_Q10_11'!E52</f>
        <v>0</v>
      </c>
      <c r="F40" s="35">
        <f>+'[1]SFA acumulado_Q10_11'!F52</f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f>+'[1]SFA acumulado_Q10_11'!D56</f>
        <v>5215.0754700000107</v>
      </c>
      <c r="E44" s="114">
        <f>+'[1]SFA acumulado_Q10_11'!E56</f>
        <v>11770.07564000001</v>
      </c>
      <c r="F44" s="114">
        <f>+'[1]SFA acumulado_Q10_11'!F56</f>
        <v>16985.151110000021</v>
      </c>
    </row>
    <row r="45" spans="3:6" ht="15" customHeight="1">
      <c r="C45" s="333" t="str">
        <f>+IF(Índice!$D$2=1,"Fonte: Secretaria Regional das Finanças","Source: Regional Finance Secretariat")</f>
        <v>Fonte: Secretaria Regional das Finanças</v>
      </c>
      <c r="D45" s="333" t="str">
        <f>+IF(Índice!$D$2="PT","Fonte: Vice-Presidência do Governo Regional","Source: Vice-Presidency of the Regional Government")</f>
        <v>Source: Vice-Presidency of the Regional Government</v>
      </c>
      <c r="E45" s="333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D4" sqref="D4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3"/>
  </cols>
  <sheetData>
    <row r="1" spans="2:8">
      <c r="C1" s="303"/>
    </row>
    <row r="2" spans="2:8" ht="12.75">
      <c r="B2" s="16"/>
      <c r="C2" s="304" t="str">
        <f>+IF(Índice!$D$2=1,"QUADRO XII - Execução orçamental dos Serviços e Fundos Autónomos e EPR (fevereiro)","TABLE XII - ASFs and RPEs budget execution (february)")</f>
        <v>QUADRO XII - Execução orçamental dos Serviços e Fundos Autónomos e EPR (fevereiro)</v>
      </c>
      <c r="D2" s="305"/>
      <c r="E2" s="305"/>
      <c r="F2" s="306" t="str">
        <f>+IF(Índice!$D$2=1,"€ Milhares","€ Thousands")</f>
        <v>€ Milhares</v>
      </c>
      <c r="H2" s="290" t="str">
        <f>+IF(Índice!$D$2=1,"índice","Index")</f>
        <v>índice</v>
      </c>
    </row>
    <row r="3" spans="2:8" ht="12.75">
      <c r="B3"/>
      <c r="C3" s="307"/>
      <c r="D3" s="308" t="str">
        <f>+IF(Índice!$D$2=1,"fevereiro 2026","february 2026")</f>
        <v>fevereiro 2026</v>
      </c>
      <c r="E3" s="309"/>
      <c r="F3" s="310"/>
      <c r="H3" s="311"/>
    </row>
    <row r="4" spans="2:8" ht="35.1" customHeight="1">
      <c r="C4" s="106"/>
      <c r="D4" s="312" t="str">
        <f>+IF(Índice!$D$2=1,"SFA execução mensal","ASF monthly execution")</f>
        <v>SFA execução mensal</v>
      </c>
      <c r="E4" s="313" t="str">
        <f>+IF(Índice!$D$2=1,"EPR execução mensal","RPE monthly execution")</f>
        <v>EPR execução mensal</v>
      </c>
      <c r="F4" s="314" t="str">
        <f>+IF(Índice!$D$2=1,"Total","Total")</f>
        <v>Total</v>
      </c>
    </row>
    <row r="5" spans="2:8" ht="12" customHeight="1">
      <c r="C5" s="315" t="str">
        <f>+IF(Índice!$D$2=1,"Receita corrente","Current revenue")</f>
        <v>Receita corrente</v>
      </c>
      <c r="D5" s="316">
        <f>+'[1]SFA+EPR mensal-acumulado_Q12'!D6</f>
        <v>48770.31155000002</v>
      </c>
      <c r="E5" s="316">
        <f>+'[1]SFA+EPR mensal-acumulado_Q12'!E6</f>
        <v>39359.42445999998</v>
      </c>
      <c r="F5" s="316">
        <f>+'[1]SFA+EPR mensal-acumulado_Q12'!F6</f>
        <v>88129.736009999993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f>+'[1]SFA+EPR mensal-acumulado_Q12'!D7</f>
        <v>0</v>
      </c>
      <c r="E6" s="74">
        <f>+'[1]SFA+EPR mensal-acumulado_Q12'!E7</f>
        <v>0</v>
      </c>
      <c r="F6" s="74">
        <f>+'[1]SFA+EPR mensal-acumulado_Q12'!F7</f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f>+'[1]SFA+EPR mensal-acumulado_Q12'!D8</f>
        <v>0</v>
      </c>
      <c r="E7" s="74">
        <f>+'[1]SFA+EPR mensal-acumulado_Q12'!E8</f>
        <v>0</v>
      </c>
      <c r="F7" s="74">
        <f>+'[1]SFA+EPR mensal-acumulado_Q12'!F8</f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f>+'[1]SFA+EPR mensal-acumulado_Q12'!D9</f>
        <v>0</v>
      </c>
      <c r="E8" s="74">
        <f>+'[1]SFA+EPR mensal-acumulado_Q12'!E9</f>
        <v>0</v>
      </c>
      <c r="F8" s="74">
        <f>+'[1]SFA+EPR mensal-acumulado_Q12'!F9</f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f>+'[1]SFA+EPR mensal-acumulado_Q12'!D10</f>
        <v>48770.31155000002</v>
      </c>
      <c r="E9" s="74">
        <f>+'[1]SFA+EPR mensal-acumulado_Q12'!E10</f>
        <v>39359.42445999998</v>
      </c>
      <c r="F9" s="74">
        <f>+'[1]SFA+EPR mensal-acumulado_Q12'!F10</f>
        <v>88129.736009999993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f>+'[1]SFA+EPR mensal-acumulado_Q12'!D11</f>
        <v>47405.899590000015</v>
      </c>
      <c r="E10" s="74">
        <f>+'[1]SFA+EPR mensal-acumulado_Q12'!E11</f>
        <v>35185.628819999976</v>
      </c>
      <c r="F10" s="74">
        <f>+'[1]SFA+EPR mensal-acumulado_Q12'!F11</f>
        <v>82591.528409999999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f>+'[1]SFA+EPR mensal-acumulado_Q12'!D12</f>
        <v>1938.5974299999998</v>
      </c>
      <c r="E11" s="83">
        <f>+'[1]SFA+EPR mensal-acumulado_Q12'!E12</f>
        <v>2834.2437200000008</v>
      </c>
      <c r="F11" s="83">
        <f>+'[1]SFA+EPR mensal-acumulado_Q12'!F12</f>
        <v>4772.8411500000002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f>+'[1]SFA+EPR mensal-acumulado_Q12'!D13</f>
        <v>0</v>
      </c>
      <c r="E12" s="34">
        <f>+'[1]SFA+EPR mensal-acumulado_Q12'!E13</f>
        <v>0.4</v>
      </c>
      <c r="F12" s="34">
        <f>+'[1]SFA+EPR mensal-acumulado_Q12'!F13</f>
        <v>0.4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f>+'[1]SFA+EPR mensal-acumulado_Q12'!D14</f>
        <v>1933.7798199999997</v>
      </c>
      <c r="E13" s="34">
        <f>+'[1]SFA+EPR mensal-acumulado_Q12'!E14</f>
        <v>2827.9777200000008</v>
      </c>
      <c r="F13" s="74">
        <f>+'[1]SFA+EPR mensal-acumulado_Q12'!F14</f>
        <v>4761.7575400000005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f>+'[1]SFA+EPR mensal-acumulado_Q12'!D16</f>
        <v>50708.908980000022</v>
      </c>
      <c r="E15" s="83">
        <f>+'[1]SFA+EPR mensal-acumulado_Q12'!E16</f>
        <v>42193.668179999979</v>
      </c>
      <c r="F15" s="83">
        <f>+'[1]SFA+EPR mensal-acumulado_Q12'!F16</f>
        <v>92902.577160000001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f>+'[1]SFA+EPR mensal-acumulado_Q12'!D17</f>
        <v>49851.315069999968</v>
      </c>
      <c r="E17" s="83">
        <f>+'[1]SFA+EPR mensal-acumulado_Q12'!E17</f>
        <v>31758.472130000002</v>
      </c>
      <c r="F17" s="83">
        <f>+'[1]SFA+EPR mensal-acumulado_Q12'!F17</f>
        <v>81609.787199999962</v>
      </c>
    </row>
    <row r="18" spans="3:6" ht="11.25" customHeight="1">
      <c r="C18" s="104" t="str">
        <f>+IF(Índice!$D$2=1,"Consumo público","Public consumption")</f>
        <v>Consumo público</v>
      </c>
      <c r="D18" s="74">
        <f>+'[1]SFA+EPR mensal-acumulado_Q12'!D18</f>
        <v>13051.912439999987</v>
      </c>
      <c r="E18" s="74">
        <f>+'[1]SFA+EPR mensal-acumulado_Q12'!E18</f>
        <v>30514.195600000003</v>
      </c>
      <c r="F18" s="74">
        <f>+'[1]SFA+EPR mensal-acumulado_Q12'!F18</f>
        <v>43566.108039999992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f>+'[1]SFA+EPR mensal-acumulado_Q12'!D19</f>
        <v>5106.1257100000012</v>
      </c>
      <c r="E19" s="74">
        <f>+'[1]SFA+EPR mensal-acumulado_Q12'!E19</f>
        <v>25484.755100000009</v>
      </c>
      <c r="F19" s="74">
        <f>+'[1]SFA+EPR mensal-acumulado_Q12'!F19</f>
        <v>30590.88081000001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f>+'[1]SFA+EPR mensal-acumulado_Q12'!D20</f>
        <v>7945.7867299999862</v>
      </c>
      <c r="E20" s="74">
        <f>+'[1]SFA+EPR mensal-acumulado_Q12'!E20</f>
        <v>5029.4404999999942</v>
      </c>
      <c r="F20" s="74">
        <f>+'[1]SFA+EPR mensal-acumulado_Q12'!F20</f>
        <v>12975.22722999998</v>
      </c>
    </row>
    <row r="21" spans="3:6" ht="11.25" customHeight="1">
      <c r="C21" s="104" t="str">
        <f>+IF(Índice!$D$2=1,"Subsídios","Subsidies")</f>
        <v>Subsídios</v>
      </c>
      <c r="D21" s="74">
        <f>+'[1]SFA+EPR mensal-acumulado_Q12'!D21</f>
        <v>1775.9651599999997</v>
      </c>
      <c r="E21" s="74">
        <f>+'[1]SFA+EPR mensal-acumulado_Q12'!E21</f>
        <v>0</v>
      </c>
      <c r="F21" s="74">
        <f>+'[1]SFA+EPR mensal-acumulado_Q12'!F21</f>
        <v>1775.9651599999997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f>+'[1]SFA+EPR mensal-acumulado_Q12'!D22</f>
        <v>24.034549999999999</v>
      </c>
      <c r="E22" s="74">
        <f>+'[1]SFA+EPR mensal-acumulado_Q12'!E22</f>
        <v>1.0350499999999998</v>
      </c>
      <c r="F22" s="59">
        <f>+'[1]SFA+EPR mensal-acumulado_Q12'!F22</f>
        <v>25.069599999999998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f>+'[1]SFA+EPR mensal-acumulado_Q12'!D23</f>
        <v>34999.402919999986</v>
      </c>
      <c r="E23" s="74">
        <f>+'[1]SFA+EPR mensal-acumulado_Q12'!E23</f>
        <v>1243.2414799999999</v>
      </c>
      <c r="F23" s="59">
        <f>+'[1]SFA+EPR mensal-acumulado_Q12'!F23</f>
        <v>36242.644399999983</v>
      </c>
    </row>
    <row r="24" spans="3:6" ht="11.25" customHeight="1">
      <c r="C24" s="110" t="str">
        <f>+IF(Índice!$D$2=1,"Despesa de capital","Capital expenditure")</f>
        <v>Despesa de capital</v>
      </c>
      <c r="D24" s="83">
        <f>+'[1]SFA+EPR mensal-acumulado_Q12'!D24</f>
        <v>1880.48315</v>
      </c>
      <c r="E24" s="83">
        <f>+'[1]SFA+EPR mensal-acumulado_Q12'!E24</f>
        <v>2888.3405400000001</v>
      </c>
      <c r="F24" s="83">
        <f>+'[1]SFA+EPR mensal-acumulado_Q12'!F24</f>
        <v>4768.8236900000002</v>
      </c>
    </row>
    <row r="25" spans="3:6" ht="11.25" customHeight="1">
      <c r="C25" s="104" t="str">
        <f>+IF(Índice!$D$2=1,"Investimento","Investment")</f>
        <v>Investimento</v>
      </c>
      <c r="D25" s="74">
        <f>+'[1]SFA+EPR mensal-acumulado_Q12'!D25</f>
        <v>176.45880999999997</v>
      </c>
      <c r="E25" s="74">
        <f>+'[1]SFA+EPR mensal-acumulado_Q12'!E25</f>
        <v>2847.3405400000001</v>
      </c>
      <c r="F25" s="74">
        <f>+'[1]SFA+EPR mensal-acumulado_Q12'!F25</f>
        <v>3023.7993500000002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f>+'[1]SFA+EPR mensal-acumulado_Q12'!D26</f>
        <v>1704.0243400000002</v>
      </c>
      <c r="E26" s="74">
        <f>+'[1]SFA+EPR mensal-acumulado_Q12'!E26</f>
        <v>41</v>
      </c>
      <c r="F26" s="74">
        <f>+'[1]SFA+EPR mensal-acumulado_Q12'!F26</f>
        <v>1745.0243400000002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f>+'[1]SFA+EPR mensal-acumulado_Q12'!D27</f>
        <v>0</v>
      </c>
      <c r="E27" s="59">
        <f>+'[1]SFA+EPR mensal-acumulado_Q12'!E27</f>
        <v>0</v>
      </c>
      <c r="F27" s="59">
        <f>+'[1]SFA+EPR mensal-acumulado_Q12'!F27</f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f>+'[1]SFA+EPR mensal-acumulado_Q12'!D29</f>
        <v>51731.798219999968</v>
      </c>
      <c r="E29" s="83">
        <f>+'[1]SFA+EPR mensal-acumulado_Q12'!E29</f>
        <v>34646.812669999999</v>
      </c>
      <c r="F29" s="83">
        <f>+'[1]SFA+EPR mensal-acumulado_Q12'!F29</f>
        <v>86378.610889999967</v>
      </c>
    </row>
    <row r="30" spans="3:6" ht="11.25" customHeight="1">
      <c r="C30" s="110"/>
      <c r="D30" s="83"/>
      <c r="E30" s="83"/>
      <c r="F30" s="83"/>
    </row>
    <row r="31" spans="3:6" ht="17.25" customHeight="1">
      <c r="C31" s="317" t="str">
        <f>+IF(Índice!$D$2=1,"Saldo global","Overall balance")</f>
        <v>Saldo global</v>
      </c>
      <c r="D31" s="318">
        <f>+'[1]SFA+EPR mensal-acumulado_Q12'!D31</f>
        <v>-1022.8892399999459</v>
      </c>
      <c r="E31" s="318">
        <f>+'[1]SFA+EPR mensal-acumulado_Q12'!E31</f>
        <v>7546.8555099999794</v>
      </c>
      <c r="F31" s="318">
        <f>+'[1]SFA+EPR mensal-acumulado_Q12'!F31</f>
        <v>6523.9662700000335</v>
      </c>
    </row>
    <row r="32" spans="3:6" ht="15" customHeight="1">
      <c r="C32" s="333" t="str">
        <f>+IF(Índice!$D$2=1,"Fonte: Secretaria Regional das Finanças","Source: Regional Finance Secretariat")</f>
        <v>Fonte: Secretaria Regional das Finanças</v>
      </c>
      <c r="D32" s="333"/>
      <c r="E32" s="333"/>
      <c r="F32" s="59"/>
    </row>
    <row r="33" spans="3:6" ht="11.25" customHeight="1">
      <c r="C33" s="319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18" zoomScale="120" zoomScaleNormal="120" zoomScaleSheetLayoutView="100" zoomScalePageLayoutView="150" workbookViewId="0">
      <selection activeCell="N30" sqref="N30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fevereiro de 2026 (valores acumulados)","Table XIII- Accounts payable of the Regional Administration, february (accumulated)")</f>
        <v>QUADRO XIII - Contas a pagar, da Administração Regional, no final de fevereiro de 2026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36" t="s">
        <v>7</v>
      </c>
      <c r="D3" s="337" t="str">
        <f>+IF(Índice!$D$2=1,"fevereiro 2026","february 2026")</f>
        <v>fevereiro 2026</v>
      </c>
      <c r="E3" s="337" t="str">
        <f>+IF(Índice!$D$2="PT","janeiro 2020","January")</f>
        <v>January</v>
      </c>
      <c r="F3" s="337" t="str">
        <f>+IF(Índice!$D$2="PT","janeiro 2020","January")</f>
        <v>January</v>
      </c>
      <c r="G3" s="338" t="str">
        <f>+IF(Índice!$D$2=1,"Variação face ao stock inicial de janeiro","Change from period initial stock")</f>
        <v>Variação face ao stock inicial de janeiro</v>
      </c>
      <c r="H3" s="339"/>
      <c r="I3" s="339"/>
    </row>
    <row r="4" spans="2:11" ht="12.75" customHeight="1">
      <c r="C4" s="336"/>
      <c r="D4" s="340" t="str">
        <f>+IF(Índice!$D$2=1,"Stock final do período","Accumulated")</f>
        <v>Stock final do período</v>
      </c>
      <c r="E4" s="340"/>
      <c r="F4" s="340"/>
      <c r="G4" s="341" t="str">
        <f>+IF(Índice!$D$2=1,"Passivo","Liabilities")</f>
        <v>Passivo</v>
      </c>
      <c r="H4" s="341" t="str">
        <f>+IF(Índice!$D$2=1,"Contas a pagar","Accounts payable")</f>
        <v>Contas a pagar</v>
      </c>
      <c r="I4" s="343" t="str">
        <f>+IF(Índice!$D$2=1,"Pagamentos em atraso","Late payments")</f>
        <v>Pagamentos em atraso</v>
      </c>
    </row>
    <row r="5" spans="2:11" ht="22.5">
      <c r="B5" s="29"/>
      <c r="C5" s="336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42"/>
      <c r="H5" s="342"/>
      <c r="I5" s="344"/>
    </row>
    <row r="6" spans="2:11">
      <c r="B6" s="29"/>
      <c r="C6" s="119" t="str">
        <f>+IF(Índice!$D$2=1,"Despesa corrente","Current expenditure")</f>
        <v>Despesa corrente</v>
      </c>
      <c r="D6" s="162">
        <f>+[1]Compromissos_Q15_16_17_18!B29</f>
        <v>207172718.92000008</v>
      </c>
      <c r="E6" s="162">
        <f>+[1]Compromissos_Q15_16_17_18!C29</f>
        <v>196898548.30000007</v>
      </c>
      <c r="F6" s="162">
        <f>+[1]Compromissos_Q15_16_17_18!D29</f>
        <v>32683461.850000039</v>
      </c>
      <c r="G6" s="91">
        <f>+[1]Compromissos_Q15_16_17_18!E29</f>
        <v>0.25073335314080558</v>
      </c>
      <c r="H6" s="91">
        <f>+[1]Compromissos_Q15_16_17_18!F29</f>
        <v>0.23300665935744314</v>
      </c>
      <c r="I6" s="116">
        <f>+[1]Compromissos_Q15_16_17_18!G29</f>
        <v>0.79416507741320075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f>+[1]Compromissos_Q15_16_17_18!B30</f>
        <v>14370675.129999999</v>
      </c>
      <c r="E7" s="165">
        <f>+[1]Compromissos_Q15_16_17_18!C30</f>
        <v>13599280.23</v>
      </c>
      <c r="F7" s="165">
        <f>+[1]Compromissos_Q15_16_17_18!D30</f>
        <v>157248.84</v>
      </c>
      <c r="G7" s="95">
        <f>+[1]Compromissos_Q15_16_17_18!E30</f>
        <v>1.8249450766149762</v>
      </c>
      <c r="H7" s="95">
        <f>+[1]Compromissos_Q15_16_17_18!F30</f>
        <v>1.9657534049256267</v>
      </c>
      <c r="I7" s="121">
        <f>+[1]Compromissos_Q15_16_17_18!G30</f>
        <v>0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f>+[1]Compromissos_Q15_16_17_18!B31</f>
        <v>108285666.40000005</v>
      </c>
      <c r="E8" s="165">
        <f>+[1]Compromissos_Q15_16_17_18!C31</f>
        <v>107882520.14000005</v>
      </c>
      <c r="F8" s="165">
        <f>+[1]Compromissos_Q15_16_17_18!D31</f>
        <v>29812767.63000004</v>
      </c>
      <c r="G8" s="95">
        <f>+[1]Compromissos_Q15_16_17_18!E31</f>
        <v>0.15384236834223186</v>
      </c>
      <c r="H8" s="95">
        <f>+[1]Compromissos_Q15_16_17_18!F31</f>
        <v>0.15352895203815375</v>
      </c>
      <c r="I8" s="121">
        <f>+[1]Compromissos_Q15_16_17_18!G31</f>
        <v>0.88496992019350151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f>+[1]Compromissos_Q15_16_17_18!B32</f>
        <v>9898313.8299999982</v>
      </c>
      <c r="E9" s="165">
        <f>+[1]Compromissos_Q15_16_17_18!C32</f>
        <v>6480664.8599999994</v>
      </c>
      <c r="F9" s="165">
        <f>+[1]Compromissos_Q15_16_17_18!D32</f>
        <v>2226842.62</v>
      </c>
      <c r="G9" s="95">
        <f>+[1]Compromissos_Q15_16_17_18!E32</f>
        <v>0.62301080060749947</v>
      </c>
      <c r="H9" s="95">
        <f>+[1]Compromissos_Q15_16_17_18!F32</f>
        <v>1.4171759388123064</v>
      </c>
      <c r="I9" s="121">
        <f>+[1]Compromissos_Q15_16_17_18!G32</f>
        <v>0.1620496662983173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f>+[1]Compromissos_Q15_16_17_18!B33</f>
        <v>71222278.210000008</v>
      </c>
      <c r="E10" s="165">
        <f>+[1]Compromissos_Q15_16_17_18!C33</f>
        <v>65603434.670000002</v>
      </c>
      <c r="F10" s="165">
        <f>+[1]Compromissos_Q15_16_17_18!D33</f>
        <v>486551.76000000024</v>
      </c>
      <c r="G10" s="95">
        <f>+[1]Compromissos_Q15_16_17_18!E33</f>
        <v>0.17550373241063411</v>
      </c>
      <c r="H10" s="95">
        <f>+[1]Compromissos_Q15_16_17_18!F33</f>
        <v>0.11403299900039943</v>
      </c>
      <c r="I10" s="121">
        <f>+[1]Compromissos_Q15_16_17_18!G33</f>
        <v>0.48847219092463323</v>
      </c>
    </row>
    <row r="11" spans="2:11">
      <c r="B11" s="29"/>
      <c r="C11" s="120" t="str">
        <f>+IF(Índice!$D$2=1,"Subsídios","Subsidies")</f>
        <v>Subsídios</v>
      </c>
      <c r="D11" s="165">
        <f>+[1]Compromissos_Q15_16_17_18!B34</f>
        <v>3341789.9999999995</v>
      </c>
      <c r="E11" s="165">
        <f>+[1]Compromissos_Q15_16_17_18!C34</f>
        <v>3287438.4999999995</v>
      </c>
      <c r="F11" s="165">
        <f>+[1]Compromissos_Q15_16_17_18!D34</f>
        <v>0</v>
      </c>
      <c r="G11" s="95">
        <f>+[1]Compromissos_Q15_16_17_18!E34</f>
        <v>14294.816221765912</v>
      </c>
      <c r="H11" s="95">
        <f>+[1]Compromissos_Q15_16_17_18!F34</f>
        <v>14062.306382614646</v>
      </c>
      <c r="I11" s="121">
        <f>+[1]Compromissos_Q15_16_17_18!G34</f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f>+[1]Compromissos_Q15_16_17_18!B35</f>
        <v>53995.350000000006</v>
      </c>
      <c r="E12" s="165">
        <f>+[1]Compromissos_Q15_16_17_18!C35</f>
        <v>45209.899999999994</v>
      </c>
      <c r="F12" s="165">
        <f>+[1]Compromissos_Q15_16_17_18!D35</f>
        <v>51</v>
      </c>
      <c r="G12" s="95">
        <f>+[1]Compromissos_Q15_16_17_18!E35</f>
        <v>1.9428305928134249</v>
      </c>
      <c r="H12" s="95">
        <f>+[1]Compromissos_Q15_16_17_18!F35</f>
        <v>3.1555317594179844</v>
      </c>
      <c r="I12" s="121">
        <f>+[1]Compromissos_Q15_16_17_18!G35</f>
        <v>0</v>
      </c>
    </row>
    <row r="13" spans="2:11">
      <c r="B13" s="29"/>
      <c r="C13" s="115" t="str">
        <f>+IF(Índice!$D$2=1,"Despesa de capital","Capital expenditure")</f>
        <v>Despesa de capital</v>
      </c>
      <c r="D13" s="163">
        <f>+[1]Compromissos_Q15_16_17_18!B36</f>
        <v>33371491.480000004</v>
      </c>
      <c r="E13" s="163">
        <f>+[1]Compromissos_Q15_16_17_18!C36</f>
        <v>25977300.050000001</v>
      </c>
      <c r="F13" s="163">
        <f>+[1]Compromissos_Q15_16_17_18!D36</f>
        <v>186378.71999999997</v>
      </c>
      <c r="G13" s="92">
        <f>+[1]Compromissos_Q15_16_17_18!E36</f>
        <v>0.17510888323335494</v>
      </c>
      <c r="H13" s="92">
        <f>+[1]Compromissos_Q15_16_17_18!F36</f>
        <v>0.23408638758236933</v>
      </c>
      <c r="I13" s="117">
        <f>+[1]Compromissos_Q15_16_17_18!G36</f>
        <v>0.28777302316017406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f>+[1]Compromissos_Q15_16_17_18!B37</f>
        <v>20439448.100000001</v>
      </c>
      <c r="E14" s="165">
        <f>+[1]Compromissos_Q15_16_17_18!C37</f>
        <v>13638235.16</v>
      </c>
      <c r="F14" s="165">
        <f>+[1]Compromissos_Q15_16_17_18!D37</f>
        <v>186378.71999999997</v>
      </c>
      <c r="G14" s="95">
        <f>+[1]Compromissos_Q15_16_17_18!E37</f>
        <v>0.13388691605206038</v>
      </c>
      <c r="H14" s="95">
        <f>+[1]Compromissos_Q15_16_17_18!F37</f>
        <v>0.21011839007496724</v>
      </c>
      <c r="I14" s="121">
        <f>+[1]Compromissos_Q15_16_17_18!G37</f>
        <v>0.28777302316017406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f>+[1]Compromissos_Q15_16_17_18!B38</f>
        <v>12932043.380000001</v>
      </c>
      <c r="E15" s="165">
        <f>+[1]Compromissos_Q15_16_17_18!C38</f>
        <v>12339064.890000001</v>
      </c>
      <c r="F15" s="165">
        <f>+[1]Compromissos_Q15_16_17_18!D38</f>
        <v>0</v>
      </c>
      <c r="G15" s="95">
        <f>+[1]Compromissos_Q15_16_17_18!E38</f>
        <v>0.24674615168608427</v>
      </c>
      <c r="H15" s="95">
        <f>+[1]Compromissos_Q15_16_17_18!F38</f>
        <v>0.26170732674980335</v>
      </c>
      <c r="I15" s="121">
        <f>+[1]Compromissos_Q15_16_17_18!G38</f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f>+[1]Compromissos_Q15_16_17_18!B39</f>
        <v>0</v>
      </c>
      <c r="E16" s="166">
        <f>+[1]Compromissos_Q15_16_17_18!C39</f>
        <v>0</v>
      </c>
      <c r="F16" s="166">
        <f>+[1]Compromissos_Q15_16_17_18!D39</f>
        <v>0</v>
      </c>
      <c r="G16" s="96">
        <f>+[1]Compromissos_Q15_16_17_18!E39</f>
        <v>0</v>
      </c>
      <c r="H16" s="96">
        <f>+[1]Compromissos_Q15_16_17_18!F39</f>
        <v>0</v>
      </c>
      <c r="I16" s="123">
        <f>+[1]Compromissos_Q15_16_17_18!G39</f>
        <v>0</v>
      </c>
    </row>
    <row r="17" spans="2:9">
      <c r="B17" s="29"/>
      <c r="C17" s="146" t="s">
        <v>7</v>
      </c>
      <c r="D17" s="164">
        <f>+[1]Compromissos_Q15_16_17_18!B40</f>
        <v>240544210.4000001</v>
      </c>
      <c r="E17" s="164">
        <f>+[1]Compromissos_Q15_16_17_18!C40</f>
        <v>222875848.35000008</v>
      </c>
      <c r="F17" s="164">
        <f>+[1]Compromissos_Q15_16_17_18!D40</f>
        <v>32869840.570000038</v>
      </c>
      <c r="G17" s="147">
        <f>+[1]Compromissos_Q15_16_17_18!E40</f>
        <v>0.23966534667895245</v>
      </c>
      <c r="H17" s="147">
        <f>+[1]Compromissos_Q15_16_17_18!F40</f>
        <v>0.23313240982429884</v>
      </c>
      <c r="I17" s="148">
        <f>+[1]Compromissos_Q15_16_17_18!G40</f>
        <v>0.79017352884827297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f>+[1]Compromissos_Q15_16_17_18!B42</f>
        <v>166975992.60000008</v>
      </c>
      <c r="E19" s="164">
        <f>+[1]Compromissos_Q15_16_17_18!C42</f>
        <v>149320114.49000007</v>
      </c>
      <c r="F19" s="164">
        <f>+[1]Compromissos_Q15_16_17_18!D42</f>
        <v>11125767.210000003</v>
      </c>
      <c r="G19" s="147">
        <f>+[1]Compromissos_Q15_16_17_18!E42</f>
        <v>0.3485279471676419</v>
      </c>
      <c r="H19" s="147">
        <f>+[1]Compromissos_Q15_16_17_18!F42</f>
        <v>0.350905200712049</v>
      </c>
      <c r="I19" s="148">
        <f>+[1]Compromissos_Q15_16_17_18!G42</f>
        <v>1.4272328858148149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fevereiro de 2026 (valores acumulados)","Table XIV - Accounts payable of the Regional Gov., february (accumulated)")</f>
        <v>QUADRO XIV - Contas a pagar, do Governo Regional, no final de fevereiro de 2026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36" t="str">
        <f>+IF(Índice!$D$2=1,"Governo Regional","Regional Government")</f>
        <v>Governo Regional</v>
      </c>
      <c r="D24" s="337" t="str">
        <f>+IF(Índice!$D$2=1,"fevereiro 2026","february 2026")</f>
        <v>fevereiro 2026</v>
      </c>
      <c r="E24" s="337" t="str">
        <f>+IF(Índice!$D$2="PT","janeiro 2020","January")</f>
        <v>January</v>
      </c>
      <c r="F24" s="337" t="str">
        <f>+IF(Índice!$D$2="PT","janeiro 2020","January")</f>
        <v>January</v>
      </c>
      <c r="G24" s="338" t="str">
        <f>+IF(Índice!$D$2=1,"Variação face ao stock inicial de janeiro","Change from january initial stock")</f>
        <v>Variação face ao stock inicial de janeiro</v>
      </c>
      <c r="H24" s="339"/>
      <c r="I24" s="339"/>
    </row>
    <row r="25" spans="2:9" ht="22.5" customHeight="1">
      <c r="B25" s="29"/>
      <c r="C25" s="336"/>
      <c r="D25" s="340" t="str">
        <f>+IF(Índice!$D$2=1,"Stock final do período","Accumulated")</f>
        <v>Stock final do período</v>
      </c>
      <c r="E25" s="340"/>
      <c r="F25" s="340"/>
      <c r="G25" s="341" t="str">
        <f>+IF(Índice!$D$2=1,"Passivo","Liabilities")</f>
        <v>Passivo</v>
      </c>
      <c r="H25" s="341" t="str">
        <f>+IF(Índice!$D$2=1,"Contas a pagar","Accounts payable")</f>
        <v>Contas a pagar</v>
      </c>
      <c r="I25" s="343" t="str">
        <f>+IF(Índice!$D$2=1,"Pagamentos em atraso","Late payments")</f>
        <v>Pagamentos em atraso</v>
      </c>
    </row>
    <row r="26" spans="2:9" ht="22.5">
      <c r="B26" s="29"/>
      <c r="C26" s="336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42"/>
      <c r="H26" s="342"/>
      <c r="I26" s="344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f>+[1]Compromissos_Q15_16_17_18!B5</f>
        <v>27948155.879999999</v>
      </c>
      <c r="E27" s="162">
        <f>+[1]Compromissos_Q15_16_17_18!C5</f>
        <v>21710191.710000001</v>
      </c>
      <c r="F27" s="162">
        <f>+[1]Compromissos_Q15_16_17_18!D5</f>
        <v>1211610.7399999998</v>
      </c>
      <c r="G27" s="91">
        <f>+[1]Compromissos_Q15_16_17_18!E5</f>
        <v>2.5231146788130729</v>
      </c>
      <c r="H27" s="91">
        <f>+[1]Compromissos_Q15_16_17_18!F5</f>
        <v>2.7732602271633802</v>
      </c>
      <c r="I27" s="116">
        <f>+[1]Compromissos_Q15_16_17_18!G5</f>
        <v>4.636960455199679E-3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f>+[1]Compromissos_Q15_16_17_18!B6</f>
        <v>24065190.810000002</v>
      </c>
      <c r="E28" s="163">
        <f>+[1]Compromissos_Q15_16_17_18!C6</f>
        <v>19424795.129999999</v>
      </c>
      <c r="F28" s="163">
        <f>+[1]Compromissos_Q15_16_17_18!D6</f>
        <v>12202.55</v>
      </c>
      <c r="G28" s="92">
        <f>+[1]Compromissos_Q15_16_17_18!E6</f>
        <v>0.21404389423354253</v>
      </c>
      <c r="H28" s="172">
        <f>+[1]Compromissos_Q15_16_17_18!F6</f>
        <v>0.27565414362775953</v>
      </c>
      <c r="I28" s="117">
        <f>+[1]Compromissos_Q15_16_17_18!G6</f>
        <v>18.369126984126982</v>
      </c>
    </row>
    <row r="29" spans="2:9" ht="20.100000000000001" customHeight="1">
      <c r="B29" s="29"/>
      <c r="C29" s="146" t="s">
        <v>7</v>
      </c>
      <c r="D29" s="164">
        <f>+[1]Compromissos_Q15_16_17_18!B7</f>
        <v>52013346.689999998</v>
      </c>
      <c r="E29" s="164">
        <f>+[1]Compromissos_Q15_16_17_18!C7</f>
        <v>41134986.840000004</v>
      </c>
      <c r="F29" s="164">
        <f>+[1]Compromissos_Q15_16_17_18!D7</f>
        <v>1223813.2899999998</v>
      </c>
      <c r="G29" s="147">
        <f>+[1]Compromissos_Q15_16_17_18!E7</f>
        <v>0.87400788219402537</v>
      </c>
      <c r="H29" s="147">
        <f>+[1]Compromissos_Q15_16_17_18!F7</f>
        <v>0.9605811831755906</v>
      </c>
      <c r="I29" s="148">
        <f>+[1]Compromissos_Q15_16_17_18!G7</f>
        <v>1.4225195062608442E-2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fevereiro de 2026 (valores acumulados)","Table XV - Accounts payable of the ASFs, february (accumulated)")</f>
        <v>QUADRO XV - Contas a pagar, dos Serviços e Fundos Autónomos, no final de fevereiro de 2026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5" t="str">
        <f>+IF(Índice!$D$2=1,"Serviços e Fundos Autónomos","Autonomous Services and Funds")</f>
        <v>Serviços e Fundos Autónomos</v>
      </c>
      <c r="D33" s="337" t="str">
        <f>+IF(Índice!$D$2=1,"fevereiro 2026","february 2026")</f>
        <v>fevereiro 2026</v>
      </c>
      <c r="E33" s="337" t="str">
        <f>+IF(Índice!$D$2="PT","janeiro 2020","January")</f>
        <v>January</v>
      </c>
      <c r="F33" s="337" t="str">
        <f>+IF(Índice!$D$2="PT","janeiro 2020","January")</f>
        <v>January</v>
      </c>
      <c r="G33" s="338" t="str">
        <f>+IF(Índice!$D$2=1,"Variação face ao stock inicial de janeiro","Change from january initial stock")</f>
        <v>Variação face ao stock inicial de janeiro</v>
      </c>
      <c r="H33" s="339"/>
      <c r="I33" s="339"/>
    </row>
    <row r="34" spans="2:9" ht="12.75" customHeight="1">
      <c r="C34" s="346"/>
      <c r="D34" s="348" t="str">
        <f>+IF(Índice!$D$2=1,"Stock final do período","Accumulated")</f>
        <v>Stock final do período</v>
      </c>
      <c r="E34" s="349"/>
      <c r="F34" s="350"/>
      <c r="G34" s="351" t="str">
        <f>+IF(Índice!$D$2=1,"Passivo","Liabilities")</f>
        <v>Passivo</v>
      </c>
      <c r="H34" s="351" t="str">
        <f>+IF(Índice!$D$2=1,"Contas a pagar","Accounts payable")</f>
        <v>Contas a pagar</v>
      </c>
      <c r="I34" s="343" t="str">
        <f>+IF(Índice!$D$2=1,"Pagamentos em atraso","Late payments")</f>
        <v>Pagamentos em atraso</v>
      </c>
    </row>
    <row r="35" spans="2:9" ht="22.5">
      <c r="C35" s="347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42"/>
      <c r="H35" s="342"/>
      <c r="I35" s="344"/>
    </row>
    <row r="36" spans="2:9" ht="20.100000000000001" customHeight="1">
      <c r="C36" s="115" t="str">
        <f>+IF(Índice!$D$2=1,"Despesa corrente","Current expenditure")</f>
        <v>Despesa corrente</v>
      </c>
      <c r="D36" s="162">
        <f>+[1]Compromissos_Q15_16_17_18!B13</f>
        <v>108628335.71000004</v>
      </c>
      <c r="E36" s="162">
        <f>+[1]Compromissos_Q15_16_17_18!C13</f>
        <v>107159605.72000004</v>
      </c>
      <c r="F36" s="162">
        <f>+[1]Compromissos_Q15_16_17_18!D13</f>
        <v>9901953.9200000018</v>
      </c>
      <c r="G36" s="91">
        <f>+[1]Compromissos_Q15_16_17_18!E13</f>
        <v>0.20427929208835094</v>
      </c>
      <c r="H36" s="91">
        <f>+[1]Compromissos_Q15_16_17_18!F13</f>
        <v>0.20447892102821941</v>
      </c>
      <c r="I36" s="116">
        <f>+[1]Compromissos_Q15_16_17_18!G13</f>
        <v>1.9321085523516635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f>+[1]Compromissos_Q15_16_17_18!B14</f>
        <v>62133.17</v>
      </c>
      <c r="E37" s="163">
        <f>+[1]Compromissos_Q15_16_17_18!C14</f>
        <v>8337.42</v>
      </c>
      <c r="F37" s="163">
        <f>+[1]Compromissos_Q15_16_17_18!D14</f>
        <v>0</v>
      </c>
      <c r="G37" s="92">
        <f>+[1]Compromissos_Q15_16_17_18!E14</f>
        <v>-0.7344216517591905</v>
      </c>
      <c r="H37" s="92">
        <f>+[1]Compromissos_Q15_16_17_18!F14</f>
        <v>-0.9537217377258741</v>
      </c>
      <c r="I37" s="117">
        <f>+[1]Compromissos_Q15_16_17_18!G14</f>
        <v>0</v>
      </c>
    </row>
    <row r="38" spans="2:9" ht="20.100000000000001" customHeight="1">
      <c r="C38" s="146" t="s">
        <v>7</v>
      </c>
      <c r="D38" s="164">
        <f>+[1]Compromissos_Q15_16_17_18!B15</f>
        <v>108690468.88000004</v>
      </c>
      <c r="E38" s="164">
        <f>+[1]Compromissos_Q15_16_17_18!C15</f>
        <v>107167943.14000005</v>
      </c>
      <c r="F38" s="164">
        <f>+[1]Compromissos_Q15_16_17_18!D15</f>
        <v>9901953.9200000018</v>
      </c>
      <c r="G38" s="147">
        <f>+[1]Compromissos_Q15_16_17_18!E15</f>
        <v>0.20185090880473711</v>
      </c>
      <c r="H38" s="147">
        <f>+[1]Compromissos_Q15_16_17_18!F15</f>
        <v>0.20213831678020888</v>
      </c>
      <c r="I38" s="148">
        <f>+[1]Compromissos_Q15_16_17_18!G15</f>
        <v>1.9321085523516635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fevereiro de 2026 (valores acumulados)","Table XVI - Accounts payable of the RPEs, february (accumulated)")</f>
        <v>QUADRO XVI - Contas a pagar, das Entidades Públicas Reclassificadas, no final de fevereiro de 2026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5" t="str">
        <f>+IF(Índice!$D$2=1,"Entidades Públicas Reclassseicadas","Reclassseied Public Entities")</f>
        <v>Entidades Públicas Reclassseicadas</v>
      </c>
      <c r="D42" s="337" t="str">
        <f>+IF(Índice!$D$2=1,"fevereiro 2026","february 2026")</f>
        <v>fevereiro 2026</v>
      </c>
      <c r="E42" s="337" t="str">
        <f>+IF(Índice!$D$2="PT","janeiro 2020","January")</f>
        <v>January</v>
      </c>
      <c r="F42" s="337" t="str">
        <f>+IF(Índice!$D$2="PT","janeiro 2020","January")</f>
        <v>January</v>
      </c>
      <c r="G42" s="338" t="str">
        <f>+IF(Índice!$D$2=1,"Variação face ao stock inicial de janeiro","Change from january initial stock")</f>
        <v>Variação face ao stock inicial de janeiro</v>
      </c>
      <c r="H42" s="339"/>
      <c r="I42" s="339"/>
    </row>
    <row r="43" spans="2:9" ht="12.75" customHeight="1">
      <c r="C43" s="346"/>
      <c r="D43" s="348" t="str">
        <f>+IF(Índice!$D$2=1,"Stock final do período","Accumulated")</f>
        <v>Stock final do período</v>
      </c>
      <c r="E43" s="349"/>
      <c r="F43" s="350"/>
      <c r="G43" s="341" t="str">
        <f>+IF(Índice!$D$2=1,"Passivo","Liabilities")</f>
        <v>Passivo</v>
      </c>
      <c r="H43" s="341" t="str">
        <f>+IF(Índice!$D$2=1,"Contas a pagar","Accounts payable")</f>
        <v>Contas a pagar</v>
      </c>
      <c r="I43" s="343" t="str">
        <f>+IF(Índice!$D$2=1,"Pagamentos em atraso","Late payments")</f>
        <v>Pagamentos em atraso</v>
      </c>
    </row>
    <row r="44" spans="2:9" ht="22.5">
      <c r="C44" s="347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42"/>
      <c r="H44" s="342"/>
      <c r="I44" s="344"/>
    </row>
    <row r="45" spans="2:9" ht="20.100000000000001" customHeight="1">
      <c r="C45" s="115" t="str">
        <f>+IF(Índice!$D$2=1,"Despesa corrente","Current expenditure")</f>
        <v>Despesa corrente</v>
      </c>
      <c r="D45" s="162">
        <f>+[1]Compromissos_Q15_16_17_18!B21</f>
        <v>70596227.330000028</v>
      </c>
      <c r="E45" s="162">
        <f>+[1]Compromissos_Q15_16_17_18!C21</f>
        <v>68028750.87000002</v>
      </c>
      <c r="F45" s="162">
        <f>+[1]Compromissos_Q15_16_17_18!D21</f>
        <v>21569897.190000035</v>
      </c>
      <c r="G45" s="91">
        <f>+[1]Compromissos_Q15_16_17_18!E21</f>
        <v>4.5773160754869036E-2</v>
      </c>
      <c r="H45" s="91">
        <f>+[1]Compromissos_Q15_16_17_18!F21</f>
        <v>4.710413839038563E-2</v>
      </c>
      <c r="I45" s="116">
        <f>+[1]Compromissos_Q15_16_17_18!G21</f>
        <v>0.58213221621562372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f>+[1]Compromissos_Q15_16_17_18!B22</f>
        <v>9244167.5000000019</v>
      </c>
      <c r="E46" s="163">
        <f>+[1]Compromissos_Q15_16_17_18!C22</f>
        <v>6544167.5000000009</v>
      </c>
      <c r="F46" s="163">
        <f>+[1]Compromissos_Q15_16_17_18!D22</f>
        <v>174176.16999999998</v>
      </c>
      <c r="G46" s="92">
        <f>+[1]Compromissos_Q15_16_17_18!E22</f>
        <v>0.10810198865976473</v>
      </c>
      <c r="H46" s="92">
        <f>+[1]Compromissos_Q15_16_17_18!F22</f>
        <v>0.15983144571254826</v>
      </c>
      <c r="I46" s="117">
        <f>+[1]Compromissos_Q15_16_17_18!G22</f>
        <v>0.20872171086252345</v>
      </c>
    </row>
    <row r="47" spans="2:9" ht="20.100000000000001" customHeight="1">
      <c r="C47" s="146" t="s">
        <v>7</v>
      </c>
      <c r="D47" s="164">
        <f>+[1]Compromissos_Q15_16_17_18!B23</f>
        <v>79840394.830000028</v>
      </c>
      <c r="E47" s="164">
        <f>+[1]Compromissos_Q15_16_17_18!C23</f>
        <v>74572918.37000002</v>
      </c>
      <c r="F47" s="164">
        <f>+[1]Compromissos_Q15_16_17_18!D23</f>
        <v>21744073.360000037</v>
      </c>
      <c r="G47" s="147">
        <f>+[1]Compromissos_Q15_16_17_18!E23</f>
        <v>5.262850840516986E-2</v>
      </c>
      <c r="H47" s="147">
        <f>+[1]Compromissos_Q15_16_17_18!F23</f>
        <v>5.6111911997523523E-2</v>
      </c>
      <c r="I47" s="148">
        <f>+[1]Compromissos_Q15_16_17_18!G23</f>
        <v>0.57822670913136043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5"/>
  <sheetViews>
    <sheetView showGridLines="0" topLeftCell="A11" zoomScale="85" zoomScaleNormal="85" workbookViewId="0"/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8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91</v>
      </c>
      <c r="D5" s="171"/>
      <c r="E5" s="169"/>
    </row>
    <row r="6" spans="2:5">
      <c r="B6" s="195"/>
      <c r="C6" s="170" t="s">
        <v>14</v>
      </c>
      <c r="D6" s="170"/>
      <c r="E6" s="169"/>
    </row>
    <row r="7" spans="2:5">
      <c r="B7" s="195"/>
      <c r="C7" s="171" t="s">
        <v>82</v>
      </c>
      <c r="D7" s="170"/>
      <c r="E7" s="169"/>
    </row>
    <row r="8" spans="2:5">
      <c r="B8" s="195"/>
      <c r="C8" s="170" t="s">
        <v>73</v>
      </c>
      <c r="D8" s="171"/>
      <c r="E8" s="169"/>
    </row>
    <row r="9" spans="2:5">
      <c r="B9" s="195"/>
      <c r="C9" s="170" t="s">
        <v>85</v>
      </c>
      <c r="D9" s="170"/>
      <c r="E9" s="169"/>
    </row>
    <row r="10" spans="2:5">
      <c r="B10" s="195"/>
      <c r="C10" s="170" t="s">
        <v>88</v>
      </c>
      <c r="D10" s="170"/>
      <c r="E10" s="169"/>
    </row>
    <row r="11" spans="2:5">
      <c r="B11" s="195"/>
      <c r="C11" s="171" t="s">
        <v>92</v>
      </c>
      <c r="D11" s="170"/>
      <c r="E11" s="169"/>
    </row>
    <row r="12" spans="2:5">
      <c r="B12" s="195"/>
      <c r="C12" s="170" t="s">
        <v>15</v>
      </c>
      <c r="D12" s="170"/>
      <c r="E12" s="169"/>
    </row>
    <row r="13" spans="2:5">
      <c r="B13" s="195"/>
      <c r="C13" s="170" t="s">
        <v>90</v>
      </c>
      <c r="D13" s="170"/>
      <c r="E13" s="169"/>
    </row>
    <row r="14" spans="2:5">
      <c r="B14" s="195"/>
      <c r="C14" s="170" t="s">
        <v>48</v>
      </c>
      <c r="D14" s="170"/>
      <c r="E14" s="169"/>
    </row>
    <row r="15" spans="2:5">
      <c r="B15" s="195"/>
      <c r="C15" s="170" t="s">
        <v>49</v>
      </c>
      <c r="D15" s="170"/>
      <c r="E15" s="169"/>
    </row>
    <row r="16" spans="2:5">
      <c r="B16" s="195"/>
      <c r="C16" s="170" t="s">
        <v>50</v>
      </c>
      <c r="D16" s="170"/>
      <c r="E16" s="169"/>
    </row>
    <row r="17" spans="2:5">
      <c r="B17" s="195"/>
      <c r="C17" s="170" t="s">
        <v>16</v>
      </c>
      <c r="D17" s="171"/>
      <c r="E17" s="169"/>
    </row>
    <row r="18" spans="2:5">
      <c r="B18" s="195"/>
      <c r="C18" s="170" t="s">
        <v>38</v>
      </c>
      <c r="D18" s="170"/>
      <c r="E18" s="169"/>
    </row>
    <row r="19" spans="2:5">
      <c r="B19" s="195"/>
      <c r="C19" s="170" t="s">
        <v>51</v>
      </c>
      <c r="D19" s="170"/>
      <c r="E19" s="169"/>
    </row>
    <row r="20" spans="2:5">
      <c r="B20" s="195"/>
      <c r="C20" s="170" t="s">
        <v>62</v>
      </c>
      <c r="D20" s="170"/>
      <c r="E20" s="169"/>
    </row>
    <row r="21" spans="2:5">
      <c r="B21" s="195"/>
      <c r="C21" s="170" t="s">
        <v>60</v>
      </c>
      <c r="D21" s="170"/>
      <c r="E21" s="169"/>
    </row>
    <row r="22" spans="2:5">
      <c r="B22" s="195"/>
      <c r="C22" s="170" t="s">
        <v>17</v>
      </c>
      <c r="D22" s="170"/>
      <c r="E22" s="169"/>
    </row>
    <row r="23" spans="2:5">
      <c r="B23" s="195"/>
      <c r="C23" s="170" t="s">
        <v>63</v>
      </c>
      <c r="D23" s="170"/>
      <c r="E23" s="169"/>
    </row>
    <row r="24" spans="2:5">
      <c r="B24" s="195"/>
      <c r="C24" s="170" t="s">
        <v>39</v>
      </c>
      <c r="D24" s="170"/>
      <c r="E24" s="169"/>
    </row>
    <row r="25" spans="2:5">
      <c r="B25" s="195"/>
      <c r="C25" s="170" t="s">
        <v>84</v>
      </c>
      <c r="D25" s="170"/>
      <c r="E25" s="169"/>
    </row>
    <row r="26" spans="2:5">
      <c r="B26" s="195"/>
      <c r="C26" s="170" t="s">
        <v>52</v>
      </c>
      <c r="D26" s="170"/>
      <c r="E26" s="169"/>
    </row>
    <row r="27" spans="2:5">
      <c r="B27" s="195"/>
      <c r="C27" s="170" t="s">
        <v>64</v>
      </c>
      <c r="D27" s="170"/>
      <c r="E27" s="169"/>
    </row>
    <row r="28" spans="2:5">
      <c r="B28" s="195"/>
      <c r="C28" s="170" t="s">
        <v>53</v>
      </c>
      <c r="D28" s="170"/>
      <c r="E28" s="169"/>
    </row>
    <row r="29" spans="2:5">
      <c r="B29" s="55"/>
      <c r="C29" s="170" t="s">
        <v>54</v>
      </c>
      <c r="D29" s="170"/>
      <c r="E29" s="169"/>
    </row>
    <row r="30" spans="2:5">
      <c r="B30" s="55"/>
      <c r="C30" s="170" t="s">
        <v>40</v>
      </c>
      <c r="D30" s="170"/>
      <c r="E30" s="169"/>
    </row>
    <row r="31" spans="2:5">
      <c r="B31" s="55"/>
      <c r="C31" s="170" t="s">
        <v>61</v>
      </c>
      <c r="D31" s="170"/>
      <c r="E31" s="169"/>
    </row>
    <row r="32" spans="2:5">
      <c r="B32" s="55"/>
      <c r="C32" s="170" t="s">
        <v>41</v>
      </c>
      <c r="D32" s="170"/>
      <c r="E32" s="169"/>
    </row>
    <row r="33" spans="2:5">
      <c r="B33" s="55"/>
      <c r="C33" s="170" t="s">
        <v>55</v>
      </c>
      <c r="D33" s="170"/>
      <c r="E33" s="169"/>
    </row>
    <row r="34" spans="2:5">
      <c r="B34" s="55"/>
      <c r="C34" s="170" t="s">
        <v>69</v>
      </c>
      <c r="D34" s="170"/>
      <c r="E34" s="169"/>
    </row>
    <row r="35" spans="2:5">
      <c r="B35" s="55"/>
      <c r="C35" s="170" t="s">
        <v>56</v>
      </c>
      <c r="D35" s="170"/>
      <c r="E35" s="169"/>
    </row>
    <row r="36" spans="2:5">
      <c r="B36" s="55"/>
      <c r="C36" s="170" t="s">
        <v>42</v>
      </c>
      <c r="D36" s="170"/>
      <c r="E36" s="169"/>
    </row>
    <row r="37" spans="2:5">
      <c r="B37" s="55"/>
      <c r="C37" s="170" t="s">
        <v>57</v>
      </c>
      <c r="D37" s="170"/>
      <c r="E37" s="169"/>
    </row>
    <row r="38" spans="2:5">
      <c r="B38" s="55"/>
      <c r="C38" s="170" t="s">
        <v>43</v>
      </c>
      <c r="D38" s="170"/>
      <c r="E38" s="169"/>
    </row>
    <row r="39" spans="2:5">
      <c r="B39" s="55"/>
      <c r="C39" s="171" t="s">
        <v>72</v>
      </c>
      <c r="D39" s="170"/>
      <c r="E39" s="169"/>
    </row>
    <row r="40" spans="2:5">
      <c r="B40" s="55"/>
      <c r="C40" s="170" t="s">
        <v>73</v>
      </c>
      <c r="D40" s="170"/>
      <c r="E40" s="169"/>
    </row>
    <row r="41" spans="2:5">
      <c r="B41" s="55"/>
      <c r="C41" s="170" t="s">
        <v>18</v>
      </c>
      <c r="D41" s="170"/>
      <c r="E41" s="169"/>
    </row>
    <row r="42" spans="2:5">
      <c r="B42" s="55"/>
      <c r="C42" s="170" t="s">
        <v>65</v>
      </c>
      <c r="D42" s="170"/>
      <c r="E42" s="169"/>
    </row>
    <row r="43" spans="2:5">
      <c r="B43" s="55"/>
      <c r="C43" s="170" t="s">
        <v>74</v>
      </c>
      <c r="D43" s="171"/>
      <c r="E43" s="169"/>
    </row>
    <row r="44" spans="2:5">
      <c r="B44" s="55"/>
      <c r="C44" s="171" t="s">
        <v>23</v>
      </c>
      <c r="D44" s="170"/>
      <c r="E44" s="169"/>
    </row>
    <row r="45" spans="2:5">
      <c r="B45" s="55"/>
      <c r="C45" s="170" t="s">
        <v>73</v>
      </c>
      <c r="D45" s="171"/>
      <c r="E45" s="169"/>
    </row>
    <row r="46" spans="2:5">
      <c r="B46" s="55"/>
      <c r="C46" s="170" t="s">
        <v>89</v>
      </c>
      <c r="D46" s="170"/>
      <c r="E46" s="169"/>
    </row>
    <row r="47" spans="2:5">
      <c r="B47" s="55"/>
      <c r="C47" s="170" t="s">
        <v>24</v>
      </c>
      <c r="D47" s="170"/>
      <c r="E47" s="169"/>
    </row>
    <row r="48" spans="2:5">
      <c r="B48" s="55"/>
      <c r="C48" s="171" t="s">
        <v>19</v>
      </c>
      <c r="D48" s="170"/>
      <c r="E48" s="169"/>
    </row>
    <row r="49" spans="2:5">
      <c r="B49" s="55"/>
      <c r="C49" s="170" t="s">
        <v>44</v>
      </c>
      <c r="D49" s="170"/>
      <c r="E49" s="169"/>
    </row>
    <row r="50" spans="2:5">
      <c r="B50" s="55"/>
      <c r="C50" s="170" t="s">
        <v>45</v>
      </c>
      <c r="D50" s="171"/>
      <c r="E50" s="169"/>
    </row>
    <row r="51" spans="2:5">
      <c r="B51" s="55"/>
      <c r="C51" s="170" t="s">
        <v>36</v>
      </c>
      <c r="D51" s="170"/>
      <c r="E51" s="169"/>
    </row>
    <row r="52" spans="2:5">
      <c r="B52" s="55"/>
      <c r="C52" s="170" t="s">
        <v>20</v>
      </c>
      <c r="D52" s="170"/>
      <c r="E52" s="169"/>
    </row>
    <row r="53" spans="2:5">
      <c r="B53" s="55"/>
      <c r="C53" s="170" t="s">
        <v>46</v>
      </c>
      <c r="D53" s="170"/>
      <c r="E53" s="169"/>
    </row>
    <row r="54" spans="2:5">
      <c r="B54" s="55"/>
      <c r="C54" s="170" t="s">
        <v>21</v>
      </c>
      <c r="D54" s="171"/>
      <c r="E54" s="169"/>
    </row>
    <row r="55" spans="2:5">
      <c r="B55" s="55"/>
      <c r="C55" s="170" t="s">
        <v>22</v>
      </c>
    </row>
    <row r="56" spans="2:5">
      <c r="B56" s="55"/>
      <c r="C56" s="170" t="s">
        <v>37</v>
      </c>
    </row>
    <row r="57" spans="2:5">
      <c r="B57" s="55"/>
      <c r="C57" s="170" t="s">
        <v>75</v>
      </c>
    </row>
    <row r="58" spans="2:5">
      <c r="B58" s="55"/>
      <c r="C58" s="171" t="s">
        <v>76</v>
      </c>
    </row>
    <row r="59" spans="2:5">
      <c r="B59" s="55"/>
      <c r="C59" s="170" t="s">
        <v>73</v>
      </c>
    </row>
    <row r="60" spans="2:5">
      <c r="B60" s="55"/>
      <c r="C60" s="170" t="s">
        <v>67</v>
      </c>
    </row>
    <row r="61" spans="2:5">
      <c r="B61" s="55"/>
      <c r="C61" s="170" t="s">
        <v>77</v>
      </c>
    </row>
    <row r="62" spans="2:5">
      <c r="B62" s="55"/>
      <c r="C62" s="171" t="s">
        <v>66</v>
      </c>
    </row>
    <row r="63" spans="2:5">
      <c r="B63" s="55"/>
      <c r="C63" s="170" t="s">
        <v>73</v>
      </c>
    </row>
    <row r="64" spans="2:5">
      <c r="B64" s="55"/>
      <c r="C64" s="170" t="s">
        <v>58</v>
      </c>
    </row>
    <row r="65" spans="2:3">
      <c r="B65" s="55"/>
      <c r="C65" s="170" t="s">
        <v>25</v>
      </c>
    </row>
    <row r="66" spans="2:3">
      <c r="B66" s="55"/>
      <c r="C66" s="170" t="s">
        <v>86</v>
      </c>
    </row>
    <row r="67" spans="2:3">
      <c r="B67" s="55"/>
      <c r="C67" s="170" t="s">
        <v>78</v>
      </c>
    </row>
    <row r="68" spans="2:3">
      <c r="B68" s="55"/>
      <c r="C68" s="171" t="s">
        <v>71</v>
      </c>
    </row>
    <row r="69" spans="2:3">
      <c r="B69" s="55"/>
      <c r="C69" s="170" t="s">
        <v>73</v>
      </c>
    </row>
    <row r="70" spans="2:3">
      <c r="B70" s="55"/>
      <c r="C70" s="170" t="s">
        <v>26</v>
      </c>
    </row>
    <row r="71" spans="2:3">
      <c r="B71" s="55"/>
      <c r="C71" s="170" t="s">
        <v>27</v>
      </c>
    </row>
    <row r="72" spans="2:3">
      <c r="B72" s="55"/>
      <c r="C72" s="170" t="s">
        <v>28</v>
      </c>
    </row>
    <row r="73" spans="2:3" ht="13.5" customHeight="1">
      <c r="B73" s="55"/>
      <c r="C73" s="170" t="s">
        <v>79</v>
      </c>
    </row>
    <row r="74" spans="2:3" ht="13.5" customHeight="1">
      <c r="B74" s="55"/>
      <c r="C74" s="289" t="s">
        <v>80</v>
      </c>
    </row>
    <row r="75" spans="2:3" ht="13.5" customHeight="1">
      <c r="B75" s="55"/>
      <c r="C75" s="170"/>
    </row>
    <row r="76" spans="2:3" ht="13.5" customHeight="1">
      <c r="B76" s="55"/>
      <c r="C76" s="170"/>
    </row>
    <row r="77" spans="2:3" ht="13.5" customHeight="1">
      <c r="B77" s="55"/>
      <c r="C77" s="170"/>
    </row>
    <row r="78" spans="2:3" ht="13.5" customHeight="1">
      <c r="B78" s="55"/>
      <c r="C78" s="170"/>
    </row>
    <row r="79" spans="2:3" ht="13.5" customHeight="1">
      <c r="B79" s="55"/>
      <c r="C79" s="170"/>
    </row>
    <row r="80" spans="2:3" ht="13.5" customHeight="1">
      <c r="B80" s="55"/>
      <c r="C80" s="170"/>
    </row>
    <row r="81" spans="2:3" ht="30.75" customHeight="1">
      <c r="B81" s="16"/>
      <c r="C81" s="321" t="s">
        <v>11</v>
      </c>
    </row>
    <row r="82" spans="2:3">
      <c r="B82" s="55"/>
      <c r="C82" s="288" t="s">
        <v>13</v>
      </c>
    </row>
    <row r="83" spans="2:3">
      <c r="B83" s="55"/>
      <c r="C83" s="170" t="s">
        <v>13</v>
      </c>
    </row>
    <row r="84" spans="2:3">
      <c r="B84" s="55"/>
      <c r="C84" s="171" t="s">
        <v>82</v>
      </c>
    </row>
    <row r="85" spans="2:3">
      <c r="B85" s="55"/>
      <c r="C85" s="170" t="s">
        <v>59</v>
      </c>
    </row>
    <row r="86" spans="2:3">
      <c r="B86" s="55"/>
      <c r="C86" s="171" t="s">
        <v>92</v>
      </c>
    </row>
    <row r="87" spans="2:3">
      <c r="B87" s="55"/>
      <c r="C87" s="170" t="s">
        <v>68</v>
      </c>
    </row>
    <row r="88" spans="2:3">
      <c r="B88" s="55"/>
      <c r="C88" s="170" t="s">
        <v>83</v>
      </c>
    </row>
    <row r="89" spans="2:3">
      <c r="B89" s="55"/>
      <c r="C89" s="170" t="s">
        <v>87</v>
      </c>
    </row>
    <row r="90" spans="2:3">
      <c r="B90" s="55"/>
      <c r="C90" s="171" t="s">
        <v>72</v>
      </c>
    </row>
    <row r="91" spans="2:3">
      <c r="B91" s="55"/>
      <c r="C91" s="170" t="s">
        <v>29</v>
      </c>
    </row>
    <row r="92" spans="2:3">
      <c r="B92" s="55"/>
      <c r="C92" s="170" t="s">
        <v>81</v>
      </c>
    </row>
    <row r="93" spans="2:3">
      <c r="B93" s="55"/>
      <c r="C93" s="171" t="s">
        <v>23</v>
      </c>
    </row>
    <row r="94" spans="2:3">
      <c r="B94" s="55"/>
      <c r="C94" s="170" t="s">
        <v>93</v>
      </c>
    </row>
    <row r="95" spans="2:3">
      <c r="B95" s="55"/>
      <c r="C95" s="171" t="s">
        <v>19</v>
      </c>
    </row>
    <row r="96" spans="2:3">
      <c r="B96" s="55"/>
      <c r="C96" s="170" t="s">
        <v>30</v>
      </c>
    </row>
    <row r="97" spans="2:3">
      <c r="B97" s="55"/>
      <c r="C97" s="170" t="s">
        <v>31</v>
      </c>
    </row>
    <row r="98" spans="2:3">
      <c r="B98" s="55"/>
      <c r="C98" s="170" t="s">
        <v>47</v>
      </c>
    </row>
    <row r="99" spans="2:3">
      <c r="B99" s="55"/>
      <c r="C99" s="171" t="s">
        <v>76</v>
      </c>
    </row>
    <row r="100" spans="2:3">
      <c r="B100" s="55"/>
      <c r="C100" s="171" t="s">
        <v>66</v>
      </c>
    </row>
    <row r="101" spans="2:3">
      <c r="B101" s="55"/>
      <c r="C101" s="170" t="s">
        <v>95</v>
      </c>
    </row>
    <row r="102" spans="2:3">
      <c r="B102" s="55"/>
      <c r="C102" s="171" t="s">
        <v>71</v>
      </c>
    </row>
    <row r="103" spans="2:3">
      <c r="B103" s="55"/>
      <c r="C103" s="170" t="s">
        <v>32</v>
      </c>
    </row>
    <row r="104" spans="2:3">
      <c r="B104" s="55"/>
      <c r="C104" s="170" t="s">
        <v>33</v>
      </c>
    </row>
    <row r="105" spans="2:3">
      <c r="B105" s="55"/>
      <c r="C105" s="170" t="s">
        <v>34</v>
      </c>
    </row>
    <row r="106" spans="2:3">
      <c r="B106" s="55"/>
      <c r="C106" s="170" t="s">
        <v>35</v>
      </c>
    </row>
    <row r="107" spans="2:3">
      <c r="B107" s="55"/>
      <c r="C107" s="170" t="s">
        <v>94</v>
      </c>
    </row>
    <row r="108" spans="2:3">
      <c r="C108" s="170" t="s">
        <v>70</v>
      </c>
    </row>
    <row r="109" spans="2:3">
      <c r="C109" s="289"/>
    </row>
    <row r="110" spans="2:3">
      <c r="C110" s="170"/>
    </row>
    <row r="111" spans="2:3">
      <c r="C111" s="170"/>
    </row>
    <row r="112" spans="2:3">
      <c r="C112" s="170"/>
    </row>
    <row r="113" spans="3:3">
      <c r="C113" s="170"/>
    </row>
    <row r="114" spans="3:3">
      <c r="C114" s="170"/>
    </row>
    <row r="115" spans="3:3">
      <c r="C115" s="17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tabSelected="1" zoomScale="130" zoomScaleNormal="130" workbookViewId="0">
      <selection activeCell="A20" sqref="A20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(janeiro-fevereiro)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(janeiro-fevereiro)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(fevereiro)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(janeiro-fevereiro)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(janeiro-fevereiro)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(janeiro-fevereiro)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(janeiro-fevereiro)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(janeiro-fevereiro)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(janeiro-fevereiro)</v>
      </c>
      <c r="B11" s="217"/>
      <c r="C11" s="217"/>
      <c r="D11" s="217"/>
    </row>
    <row r="12" spans="1:25" s="179" customFormat="1" ht="20.100000000000001" customHeight="1">
      <c r="A12" s="283" t="str">
        <f>+'Q10_SFA '!C2</f>
        <v>QUADRO X - Execução orçamental dos Serviços e Fundos Autónomos e EPR (janeiro-fevereiro)</v>
      </c>
      <c r="B12" s="284"/>
      <c r="C12" s="284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(janeiro-fevereiro)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(fevereiro)</v>
      </c>
      <c r="B14" s="217"/>
      <c r="C14" s="217"/>
      <c r="D14" s="217"/>
    </row>
    <row r="15" spans="1:25" s="179" customFormat="1" ht="20.100000000000001" customHeight="1">
      <c r="A15" s="283" t="str">
        <f>+Q_13_14_15_16_Compromissos!C2</f>
        <v>QUADRO XIII - Contas a pagar, da Administração Regional, no final de fevereiro de 2026 (valores acumulados)</v>
      </c>
      <c r="B15" s="284"/>
      <c r="C15" s="284"/>
      <c r="D15" s="284"/>
    </row>
    <row r="16" spans="1:25" s="179" customFormat="1" ht="20.100000000000001" customHeight="1">
      <c r="A16" s="283" t="str">
        <f>+Q_13_14_15_16_Compromissos!C23</f>
        <v>QUADRO XIV - Contas a pagar, do Governo Regional, no final de fevereiro de 2026 (valores acumulados)</v>
      </c>
      <c r="B16" s="284"/>
      <c r="C16" s="284"/>
      <c r="D16" s="284"/>
    </row>
    <row r="17" spans="1:4" s="179" customFormat="1" ht="20.100000000000001" customHeight="1">
      <c r="A17" s="283" t="str">
        <f>+Q_13_14_15_16_Compromissos!C32</f>
        <v>QUADRO XV - Contas a pagar, dos Serviços e Fundos Autónomos, no final de fevereiro de 2026 (valores acumulados)</v>
      </c>
      <c r="B17" s="284"/>
      <c r="C17" s="284"/>
      <c r="D17" s="284"/>
    </row>
    <row r="18" spans="1:4" s="169" customFormat="1" ht="20.100000000000001" customHeight="1">
      <c r="A18" s="269" t="str">
        <f>+Q_13_14_15_16_Compromissos!C41</f>
        <v>QUADRO XVI - Contas a pagar, das Entidades Públicas Reclassificadas, no final de fevereiro de 2026 (valores acumulados)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'!C81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4"/>
      <c r="C21" s="284"/>
      <c r="D21" s="284"/>
    </row>
    <row r="22" spans="1:4">
      <c r="A22" s="322"/>
      <c r="B22" s="322"/>
      <c r="C22" s="322"/>
      <c r="D22" s="322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1" display="'Pagamentos_Atraso '!B81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G3" sqref="G3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(janeiro-fevereiro)","TABLE I - Consolidated budget execution (january-february)")</f>
        <v>QUADRO I - Execução orçamental consolidada (janeiro-fevereiro)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2026","Consolidated balance")</f>
        <v>Saldo
consolidado
2026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f>+[1]Consolidado_Q1!M67</f>
        <v>108392.02048000001</v>
      </c>
      <c r="E5" s="57">
        <f>+[1]Consolidado_Q1!N67</f>
        <v>41645.766860000003</v>
      </c>
      <c r="F5" s="57">
        <f>+[1]Consolidado_Q1!O67</f>
        <v>32103.394760000003</v>
      </c>
      <c r="G5" s="57">
        <f>+[1]Consolidado_Q1!P67</f>
        <v>145467.69519</v>
      </c>
      <c r="H5" s="57">
        <f>+[1]Consolidado_Q1!R67</f>
        <v>-39.68891289933498</v>
      </c>
    </row>
    <row r="6" spans="1:10" ht="11.25" customHeight="1">
      <c r="C6" s="68" t="str">
        <f>+IF(Índice!$D$2=1,"Impostos diretos","Direct taxes")</f>
        <v>Impostos diretos</v>
      </c>
      <c r="D6" s="56">
        <f>+[1]Consolidado_Q1!M68</f>
        <v>0</v>
      </c>
      <c r="E6" s="56">
        <f>+[1]Consolidado_Q1!N68</f>
        <v>0</v>
      </c>
      <c r="F6" s="56">
        <f>+[1]Consolidado_Q1!O68</f>
        <v>0</v>
      </c>
      <c r="G6" s="56">
        <f>+[1]Consolidado_Q1!P68</f>
        <v>0</v>
      </c>
      <c r="H6" s="56">
        <f>+[1]Consolidado_Q1!R68</f>
        <v>-100</v>
      </c>
    </row>
    <row r="7" spans="1:10">
      <c r="C7" s="68" t="str">
        <f>+IF(Índice!$D$2=1,"Impostos indiretos","Indirect taxes")</f>
        <v>Impostos indiretos</v>
      </c>
      <c r="D7" s="56">
        <f>+[1]Consolidado_Q1!M69</f>
        <v>53454.515039999998</v>
      </c>
      <c r="E7" s="56">
        <f>+[1]Consolidado_Q1!N69</f>
        <v>0</v>
      </c>
      <c r="F7" s="56">
        <f>+[1]Consolidado_Q1!O69</f>
        <v>0</v>
      </c>
      <c r="G7" s="56">
        <f>+[1]Consolidado_Q1!P69</f>
        <v>53454.515039999998</v>
      </c>
      <c r="H7" s="56">
        <f>+[1]Consolidado_Q1!R69</f>
        <v>-54.247072637833149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f>+[1]Consolidado_Q1!M70</f>
        <v>0</v>
      </c>
      <c r="E8" s="56">
        <f>+[1]Consolidado_Q1!N70</f>
        <v>0</v>
      </c>
      <c r="F8" s="56">
        <f>+[1]Consolidado_Q1!O70</f>
        <v>0</v>
      </c>
      <c r="G8" s="56">
        <f>+[1]Consolidado_Q1!P70</f>
        <v>0</v>
      </c>
      <c r="H8" s="56">
        <f>+[1]Consolidado_Q1!R70</f>
        <v>0</v>
      </c>
    </row>
    <row r="9" spans="1:10">
      <c r="C9" s="68" t="str">
        <f>+IF(Índice!$D$2=1,"Outras receitas correntes","Other current revenues")</f>
        <v>Outras receitas correntes</v>
      </c>
      <c r="D9" s="56">
        <f>+[1]Consolidado_Q1!M71</f>
        <v>54937.505440000008</v>
      </c>
      <c r="E9" s="56">
        <f>+[1]Consolidado_Q1!N71</f>
        <v>41645.766860000003</v>
      </c>
      <c r="F9" s="56">
        <f>+[1]Consolidado_Q1!O71</f>
        <v>32103.394760000003</v>
      </c>
      <c r="G9" s="56">
        <f>+[1]Consolidado_Q1!P71</f>
        <v>63743.543780000015</v>
      </c>
      <c r="H9" s="56">
        <f>+[1]Consolidado_Q1!R71</f>
        <v>-28.680198782221844</v>
      </c>
    </row>
    <row r="10" spans="1:10">
      <c r="C10" s="69" t="str">
        <f>+IF(Índice!$D$2=1,"Transferências correntes","Current transfers")</f>
        <v>Transferências correntes</v>
      </c>
      <c r="D10" s="56">
        <f>+[1]Consolidado_Q1!M72</f>
        <v>53702.056700000001</v>
      </c>
      <c r="E10" s="56">
        <f>+[1]Consolidado_Q1!N72</f>
        <v>40464.844749999997</v>
      </c>
      <c r="F10" s="56">
        <f>+[1]Consolidado_Q1!O72</f>
        <v>28610.700140000004</v>
      </c>
      <c r="G10" s="56">
        <f>+[1]Consolidado_Q1!P72</f>
        <v>57834.478310000013</v>
      </c>
      <c r="H10" s="56">
        <f>+[1]Consolidado_Q1!R72</f>
        <v>-19.153122124525357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f>+[1]Consolidado_Q1!M73</f>
        <v>53590.59</v>
      </c>
      <c r="E11" s="56">
        <f>+[1]Consolidado_Q1!N73</f>
        <v>169.58905999999999</v>
      </c>
      <c r="F11" s="56">
        <f>+[1]Consolidado_Q1!O73</f>
        <v>0</v>
      </c>
      <c r="G11" s="56">
        <f>+[1]Consolidado_Q1!P73</f>
        <v>53760.179059999995</v>
      </c>
      <c r="H11" s="56">
        <f>+[1]Consolidado_Q1!R73</f>
        <v>-14.171112338517954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f>+[1]Consolidado_Q1!M74</f>
        <v>0</v>
      </c>
      <c r="E12" s="56">
        <f>+[1]Consolidado_Q1!N74</f>
        <v>36675.116869999991</v>
      </c>
      <c r="F12" s="56">
        <f>+[1]Consolidado_Q1!O74</f>
        <v>28268.006410000002</v>
      </c>
      <c r="G12" s="56">
        <f>+[1]Consolidado_Q1!P74</f>
        <v>0</v>
      </c>
      <c r="H12" s="56">
        <f>+[1]Consolidado_Q1!R74</f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f>+[1]Consolidado_Q1!M75</f>
        <v>0</v>
      </c>
      <c r="E13" s="56">
        <f>+[1]Consolidado_Q1!N75</f>
        <v>0</v>
      </c>
      <c r="F13" s="56">
        <f>+[1]Consolidado_Q1!O75</f>
        <v>0</v>
      </c>
      <c r="G13" s="56">
        <f>+[1]Consolidado_Q1!P75</f>
        <v>28269.636369999993</v>
      </c>
      <c r="H13" s="56">
        <f>+[1]Consolidado_Q1!R75</f>
        <v>0</v>
      </c>
    </row>
    <row r="14" spans="1:10">
      <c r="C14" s="57" t="str">
        <f>+IF(Índice!$D$2=1,"Receita de capital","Capital revenue")</f>
        <v>Receita de capital</v>
      </c>
      <c r="D14" s="57">
        <f>+[1]Consolidado_Q1!M76</f>
        <v>2317.85869</v>
      </c>
      <c r="E14" s="57">
        <f>+[1]Consolidado_Q1!N76</f>
        <v>818.22141999999997</v>
      </c>
      <c r="F14" s="57">
        <f>+[1]Consolidado_Q1!O76</f>
        <v>1452.5005000000003</v>
      </c>
      <c r="G14" s="57">
        <f>+[1]Consolidado_Q1!P76</f>
        <v>3913.5806100000009</v>
      </c>
      <c r="H14" s="57">
        <f>+[1]Consolidado_Q1!R76</f>
        <v>-91.693242209540315</v>
      </c>
    </row>
    <row r="15" spans="1:10">
      <c r="C15" s="68" t="str">
        <f>+IF(Índice!$D$2=1,"Venda de bens de investimento","Sale of investment goods")</f>
        <v>Venda de bens de investimento</v>
      </c>
      <c r="D15" s="56">
        <f>+[1]Consolidado_Q1!M77</f>
        <v>333.9</v>
      </c>
      <c r="E15" s="56">
        <f>+[1]Consolidado_Q1!N77</f>
        <v>0</v>
      </c>
      <c r="F15" s="56">
        <f>+[1]Consolidado_Q1!O77</f>
        <v>17.928000000000001</v>
      </c>
      <c r="G15" s="56">
        <f>+[1]Consolidado_Q1!P77</f>
        <v>351.82799999999997</v>
      </c>
      <c r="H15" s="56">
        <f>+[1]Consolidado_Q1!R77</f>
        <v>-35.253705040975738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f>+[1]Consolidado_Q1!M78</f>
        <v>527.25738000000001</v>
      </c>
      <c r="E16" s="56">
        <f>+[1]Consolidado_Q1!N78</f>
        <v>802.798</v>
      </c>
      <c r="F16" s="56">
        <f>+[1]Consolidado_Q1!O78</f>
        <v>1430.3252600000001</v>
      </c>
      <c r="G16" s="56">
        <f>+[1]Consolidado_Q1!P78</f>
        <v>1581.5633700000003</v>
      </c>
      <c r="H16" s="56">
        <f>+[1]Consolidado_Q1!R78</f>
        <v>-96.051347144093683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f>+[1]Consolidado_Q1!M79</f>
        <v>0</v>
      </c>
      <c r="E17" s="56">
        <f>+[1]Consolidado_Q1!N79</f>
        <v>0</v>
      </c>
      <c r="F17" s="56">
        <f>+[1]Consolidado_Q1!O79</f>
        <v>0</v>
      </c>
      <c r="G17" s="56">
        <f>+[1]Consolidado_Q1!P79</f>
        <v>0</v>
      </c>
      <c r="H17" s="56">
        <f>+[1]Consolidado_Q1!R79</f>
        <v>-100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f>+[1]Consolidado_Q1!M80</f>
        <v>0</v>
      </c>
      <c r="E18" s="56">
        <f>+[1]Consolidado_Q1!N80</f>
        <v>668</v>
      </c>
      <c r="F18" s="56">
        <f>+[1]Consolidado_Q1!O80</f>
        <v>510.81727000000001</v>
      </c>
      <c r="G18" s="56">
        <f>+[1]Consolidado_Q1!P80</f>
        <v>0</v>
      </c>
      <c r="H18" s="56">
        <f>+[1]Consolidado_Q1!R80</f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f>+[1]Consolidado_Q1!M81</f>
        <v>0</v>
      </c>
      <c r="E19" s="56">
        <f>+[1]Consolidado_Q1!N81</f>
        <v>0</v>
      </c>
      <c r="F19" s="56">
        <f>+[1]Consolidado_Q1!O81</f>
        <v>0</v>
      </c>
      <c r="G19" s="56">
        <f>+[1]Consolidado_Q1!P81</f>
        <v>503.81727000000001</v>
      </c>
      <c r="H19" s="56">
        <f>+[1]Consolidado_Q1!R81</f>
        <v>0</v>
      </c>
    </row>
    <row r="20" spans="3:8">
      <c r="C20" s="57" t="str">
        <f>+IF(Índice!$D$2=1,"Receita efetiva","Effective revenue")</f>
        <v>Receita efetiva</v>
      </c>
      <c r="D20" s="57">
        <f>+[1]Consolidado_Q1!M82</f>
        <v>110709.87917</v>
      </c>
      <c r="E20" s="57">
        <f>+[1]Consolidado_Q1!N82</f>
        <v>42463.988280000005</v>
      </c>
      <c r="F20" s="57">
        <f>+[1]Consolidado_Q1!O82</f>
        <v>33555.895260000005</v>
      </c>
      <c r="G20" s="57">
        <f>+[1]Consolidado_Q1!P82</f>
        <v>149381.2758</v>
      </c>
      <c r="H20" s="57">
        <f>+[1]Consolidado_Q1!R82</f>
        <v>-48.187061064644574</v>
      </c>
    </row>
    <row r="21" spans="3:8" ht="20.25" customHeight="1">
      <c r="C21" s="220" t="str">
        <f>+IF(Índice!$D$2=1,"Despesa corrente","Current expenditure")</f>
        <v>Despesa corrente</v>
      </c>
      <c r="D21" s="220">
        <f>+[1]Consolidado_Q1!M83</f>
        <v>75390.465059999988</v>
      </c>
      <c r="E21" s="220">
        <f>+[1]Consolidado_Q1!N83</f>
        <v>37248.812819999992</v>
      </c>
      <c r="F21" s="220">
        <f>+[1]Consolidado_Q1!O83</f>
        <v>21593.224099999996</v>
      </c>
      <c r="G21" s="220">
        <f>+[1]Consolidado_Q1!P83</f>
        <v>97559.015069999994</v>
      </c>
      <c r="H21" s="220">
        <f>+[1]Consolidado_Q1!R83</f>
        <v>-52.882273696668889</v>
      </c>
    </row>
    <row r="22" spans="3:8" ht="10.5" customHeight="1">
      <c r="C22" s="68" t="str">
        <f>+IF(Índice!$D$2=1,"Consumo público","Public consumption")</f>
        <v>Consumo público</v>
      </c>
      <c r="D22" s="56">
        <f>+[1]Consolidado_Q1!M84</f>
        <v>44909.536339999977</v>
      </c>
      <c r="E22" s="56">
        <f>+[1]Consolidado_Q1!N84</f>
        <v>4951.7706200000002</v>
      </c>
      <c r="F22" s="56">
        <f>+[1]Consolidado_Q1!O84</f>
        <v>20462.626889999996</v>
      </c>
      <c r="G22" s="56">
        <f>+[1]Consolidado_Q1!P84</f>
        <v>70323.933849999972</v>
      </c>
      <c r="H22" s="56">
        <f>+[1]Consolidado_Q1!R84</f>
        <v>-58.510215944227518</v>
      </c>
    </row>
    <row r="23" spans="3:8">
      <c r="C23" s="69" t="str">
        <f>+IF(Índice!$D$2=1,"Despesas com o pessoal","Compensation of employees")</f>
        <v>Despesas com o pessoal</v>
      </c>
      <c r="D23" s="56">
        <f>+[1]Consolidado_Q1!M85</f>
        <v>31742.183279999979</v>
      </c>
      <c r="E23" s="56">
        <f>+[1]Consolidado_Q1!N85</f>
        <v>4005.6411300000004</v>
      </c>
      <c r="F23" s="56">
        <f>+[1]Consolidado_Q1!O85</f>
        <v>17101.317029999995</v>
      </c>
      <c r="G23" s="56">
        <f>+[1]Consolidado_Q1!P85</f>
        <v>52849.141439999978</v>
      </c>
      <c r="H23" s="56">
        <f>+[1]Consolidado_Q1!R85</f>
        <v>-52.838629977281016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f>+[1]Consolidado_Q1!M86</f>
        <v>13167.353059999999</v>
      </c>
      <c r="E24" s="56">
        <f>+[1]Consolidado_Q1!N86</f>
        <v>946.12949000000003</v>
      </c>
      <c r="F24" s="56">
        <f>+[1]Consolidado_Q1!O86</f>
        <v>3361.3098599999998</v>
      </c>
      <c r="G24" s="56">
        <f>+[1]Consolidado_Q1!P86</f>
        <v>17474.792409999998</v>
      </c>
      <c r="H24" s="56">
        <f>+[1]Consolidado_Q1!R86</f>
        <v>-69.575591553901845</v>
      </c>
    </row>
    <row r="25" spans="3:8">
      <c r="C25" s="68" t="str">
        <f>+IF(Índice!$D$2=1,"Subsídios","Subsidies")</f>
        <v>Subsídios</v>
      </c>
      <c r="D25" s="56">
        <f>+[1]Consolidado_Q1!M87</f>
        <v>97.528619999999989</v>
      </c>
      <c r="E25" s="56">
        <f>+[1]Consolidado_Q1!N87</f>
        <v>2251.8731899999998</v>
      </c>
      <c r="F25" s="56">
        <f>+[1]Consolidado_Q1!O87</f>
        <v>0</v>
      </c>
      <c r="G25" s="56">
        <f>+[1]Consolidado_Q1!P87</f>
        <v>2344.0317700000001</v>
      </c>
      <c r="H25" s="56">
        <f>+[1]Consolidado_Q1!R87</f>
        <v>44.787869189392261</v>
      </c>
    </row>
    <row r="26" spans="3:8">
      <c r="C26" s="68" t="str">
        <f>+IF(Índice!$D$2=1,"Juros e outros encargos","Interests and other charges")</f>
        <v>Juros e outros encargos</v>
      </c>
      <c r="D26" s="56">
        <f>+[1]Consolidado_Q1!M88</f>
        <v>17212.138990000003</v>
      </c>
      <c r="E26" s="56">
        <f>+[1]Consolidado_Q1!N88</f>
        <v>0.78593000000000002</v>
      </c>
      <c r="F26" s="56">
        <f>+[1]Consolidado_Q1!O88</f>
        <v>0.41107000000000005</v>
      </c>
      <c r="G26" s="56">
        <f>+[1]Consolidado_Q1!P88</f>
        <v>17213.335990000003</v>
      </c>
      <c r="H26" s="56">
        <f>+[1]Consolidado_Q1!R88</f>
        <v>-8.7577451629372689</v>
      </c>
    </row>
    <row r="27" spans="3:8">
      <c r="C27" s="68" t="str">
        <f>+IF(Índice!$D$2=1,"Transferências correntes","Current transfers")</f>
        <v>Transferências correntes</v>
      </c>
      <c r="D27" s="56">
        <f>+[1]Consolidado_Q1!M89</f>
        <v>13171.261110000014</v>
      </c>
      <c r="E27" s="56">
        <f>+[1]Consolidado_Q1!N89</f>
        <v>30044.383079999992</v>
      </c>
      <c r="F27" s="56">
        <f>+[1]Consolidado_Q1!O89</f>
        <v>1130.18614</v>
      </c>
      <c r="G27" s="56">
        <f>+[1]Consolidado_Q1!P89</f>
        <v>7677.7134600000136</v>
      </c>
      <c r="H27" s="56">
        <f>+[1]Consolidado_Q1!R89</f>
        <v>-55.028191944525304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f>+[1]Consolidado_Q1!M90</f>
        <v>0</v>
      </c>
      <c r="E28" s="56">
        <f>+[1]Consolidado_Q1!N90</f>
        <v>416.59476000000001</v>
      </c>
      <c r="F28" s="56">
        <f>+[1]Consolidado_Q1!O90</f>
        <v>0</v>
      </c>
      <c r="G28" s="56">
        <f>+[1]Consolidado_Q1!P90</f>
        <v>416.59476000000001</v>
      </c>
      <c r="H28" s="56">
        <f>+[1]Consolidado_Q1!R90</f>
        <v>6.4252810789360071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f>+[1]Consolidado_Q1!M91</f>
        <v>9569.1208700000007</v>
      </c>
      <c r="E29" s="56">
        <f>+[1]Consolidado_Q1!N91</f>
        <v>27098.995999999999</v>
      </c>
      <c r="F29" s="56">
        <f>+[1]Consolidado_Q1!O91</f>
        <v>0</v>
      </c>
      <c r="G29" s="56">
        <f>+[1]Consolidado_Q1!P91</f>
        <v>0</v>
      </c>
      <c r="H29" s="56">
        <f>+[1]Consolidado_Q1!R91</f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f>+[1]Consolidado_Q1!M92</f>
        <v>0</v>
      </c>
      <c r="E30" s="56">
        <f>+[1]Consolidado_Q1!N92</f>
        <v>0</v>
      </c>
      <c r="F30" s="56">
        <f>+[1]Consolidado_Q1!O92</f>
        <v>0</v>
      </c>
      <c r="G30" s="56">
        <f>+[1]Consolidado_Q1!P92</f>
        <v>0</v>
      </c>
      <c r="H30" s="56">
        <f>+[1]Consolidado_Q1!R92</f>
        <v>0</v>
      </c>
    </row>
    <row r="31" spans="3:8">
      <c r="C31" s="57" t="str">
        <f>+IF(Índice!$D$2=1,"Despesa de capital","Capital expenditure")</f>
        <v>Despesa de capital</v>
      </c>
      <c r="D31" s="57">
        <f>+[1]Consolidado_Q1!M93</f>
        <v>1464.7586099999999</v>
      </c>
      <c r="E31" s="57">
        <f>+[1]Consolidado_Q1!N93</f>
        <v>9.9990000000000009E-2</v>
      </c>
      <c r="F31" s="57">
        <f>+[1]Consolidado_Q1!O93</f>
        <v>192.59552000000002</v>
      </c>
      <c r="G31" s="57">
        <f>+[1]Consolidado_Q1!P93</f>
        <v>982.45411999999988</v>
      </c>
      <c r="H31" s="57">
        <f>+[1]Consolidado_Q1!R93</f>
        <v>-94.450658312263116</v>
      </c>
    </row>
    <row r="32" spans="3:8">
      <c r="C32" s="68" t="str">
        <f>+IF(Índice!$D$2=1,"Investimento","Investment")</f>
        <v>Investimento</v>
      </c>
      <c r="D32" s="56">
        <f>+[1]Consolidado_Q1!M94</f>
        <v>4.4256900000000003</v>
      </c>
      <c r="E32" s="56">
        <f>+[1]Consolidado_Q1!N94</f>
        <v>9.9990000000000009E-2</v>
      </c>
      <c r="F32" s="56">
        <f>+[1]Consolidado_Q1!O94</f>
        <v>174.83552000000003</v>
      </c>
      <c r="G32" s="56">
        <f>+[1]Consolidado_Q1!P94</f>
        <v>179.36120000000003</v>
      </c>
      <c r="H32" s="56">
        <f>+[1]Consolidado_Q1!R94</f>
        <v>-98.74197277952554</v>
      </c>
    </row>
    <row r="33" spans="3:8">
      <c r="C33" s="68" t="str">
        <f>+IF(Índice!$D$2=1,"Transferências capital","Capital transfers")</f>
        <v>Transferências capital</v>
      </c>
      <c r="D33" s="56">
        <f>+[1]Consolidado_Q1!M95</f>
        <v>1460.3329199999998</v>
      </c>
      <c r="E33" s="56">
        <f>+[1]Consolidado_Q1!N95</f>
        <v>0</v>
      </c>
      <c r="F33" s="56">
        <f>+[1]Consolidado_Q1!O95</f>
        <v>17.760000000000002</v>
      </c>
      <c r="G33" s="56">
        <f>+[1]Consolidado_Q1!P95</f>
        <v>803.09291999999982</v>
      </c>
      <c r="H33" s="56">
        <f>+[1]Consolidado_Q1!R95</f>
        <v>-76.69923407058225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f>+[1]Consolidado_Q1!M96</f>
        <v>122.806</v>
      </c>
      <c r="E34" s="56">
        <f>+[1]Consolidado_Q1!N96</f>
        <v>0</v>
      </c>
      <c r="F34" s="56">
        <f>+[1]Consolidado_Q1!O96</f>
        <v>0</v>
      </c>
      <c r="G34" s="56">
        <f>+[1]Consolidado_Q1!P96</f>
        <v>122.806</v>
      </c>
      <c r="H34" s="56">
        <f>+[1]Consolidado_Q1!R96</f>
        <v>-85.682114517783944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f>+[1]Consolidado_Q1!M97</f>
        <v>675</v>
      </c>
      <c r="E35" s="56">
        <f>+[1]Consolidado_Q1!N97</f>
        <v>0</v>
      </c>
      <c r="F35" s="56">
        <f>+[1]Consolidado_Q1!O97</f>
        <v>0</v>
      </c>
      <c r="G35" s="56">
        <f>+[1]Consolidado_Q1!P97</f>
        <v>0</v>
      </c>
      <c r="H35" s="56">
        <f>+[1]Consolidado_Q1!R97</f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f>+[1]Consolidado_Q1!M98</f>
        <v>0</v>
      </c>
      <c r="E36" s="56">
        <f>+[1]Consolidado_Q1!N98</f>
        <v>0</v>
      </c>
      <c r="F36" s="56">
        <f>+[1]Consolidado_Q1!O98</f>
        <v>0</v>
      </c>
      <c r="G36" s="56">
        <f>+[1]Consolidado_Q1!P98</f>
        <v>0</v>
      </c>
      <c r="H36" s="56">
        <f>+[1]Consolidado_Q1!R98</f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f>+[1]Consolidado_Q1!M100</f>
        <v>76855.223670000007</v>
      </c>
      <c r="E38" s="86">
        <f>+[1]Consolidado_Q1!N100</f>
        <v>37248.912809999994</v>
      </c>
      <c r="F38" s="86">
        <f>+[1]Consolidado_Q1!O100</f>
        <v>21785.819619999995</v>
      </c>
      <c r="G38" s="86">
        <f>+[1]Consolidado_Q1!P100</f>
        <v>98541.469189999989</v>
      </c>
      <c r="H38" s="86">
        <f>+[1]Consolidado_Q1!R100</f>
        <v>-56.156580325352678</v>
      </c>
    </row>
    <row r="39" spans="3:8" ht="17.25" customHeight="1">
      <c r="C39" s="138" t="str">
        <f>+IF(Índice!$D$2=1,"Saldo global","Overall balance")</f>
        <v>Saldo global</v>
      </c>
      <c r="D39" s="139">
        <f>+[1]Consolidado_Q1!M101</f>
        <v>33854.655499999993</v>
      </c>
      <c r="E39" s="139">
        <f>+[1]Consolidado_Q1!N101</f>
        <v>5215.0754700000107</v>
      </c>
      <c r="F39" s="139">
        <f>+[1]Consolidado_Q1!O101</f>
        <v>11770.07564000001</v>
      </c>
      <c r="G39" s="139">
        <f>+[1]Consolidado_Q1!P101</f>
        <v>50839.806610000014</v>
      </c>
      <c r="H39" s="139">
        <f>+[1]Consolidado_Q1!R101</f>
        <v>-20.001699743757516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f>+[1]Consolidado_Q1!M103</f>
        <v>33001.555420000019</v>
      </c>
      <c r="E41" s="19">
        <f>+[1]Consolidado_Q1!N103</f>
        <v>4396.9540400000114</v>
      </c>
      <c r="F41" s="19">
        <f>+[1]Consolidado_Q1!O103</f>
        <v>10510.170660000007</v>
      </c>
      <c r="G41" s="19">
        <f>+[1]Consolidado_Q1!P103</f>
        <v>47908.680120000005</v>
      </c>
      <c r="H41" s="19">
        <f>+[1]Consolidado_Q1!R103</f>
        <v>40.322366665159933</v>
      </c>
    </row>
    <row r="42" spans="3:8">
      <c r="C42" s="68" t="str">
        <f>+IF(Índice!$D$2=1,"Despesa corrente primária","Primary current expenditure")</f>
        <v>Despesa corrente primária</v>
      </c>
      <c r="D42" s="19">
        <f>+[1]Consolidado_Q1!M104</f>
        <v>58178.326069999981</v>
      </c>
      <c r="E42" s="19">
        <f>+[1]Consolidado_Q1!N104</f>
        <v>37248.026889999994</v>
      </c>
      <c r="F42" s="19">
        <f>+[1]Consolidado_Q1!O104</f>
        <v>21592.813029999998</v>
      </c>
      <c r="G42" s="19">
        <f>+[1]Consolidado_Q1!P104</f>
        <v>80345.679079999987</v>
      </c>
      <c r="H42" s="19">
        <f>+[1]Consolidado_Q1!R104</f>
        <v>-57.30567868271195</v>
      </c>
    </row>
    <row r="43" spans="3:8">
      <c r="C43" s="68" t="str">
        <f>+IF(Índice!$D$2=1,"Saldo corrente primário","Primary current balance")</f>
        <v>Saldo corrente primário</v>
      </c>
      <c r="D43" s="19">
        <f>+[1]Consolidado_Q1!M105</f>
        <v>50213.694410000026</v>
      </c>
      <c r="E43" s="19">
        <f>+[1]Consolidado_Q1!N105</f>
        <v>4397.7399700000096</v>
      </c>
      <c r="F43" s="19">
        <f>+[1]Consolidado_Q1!O105</f>
        <v>10510.581730000005</v>
      </c>
      <c r="G43" s="19">
        <f>+[1]Consolidado_Q1!P105</f>
        <v>65122.016110000011</v>
      </c>
      <c r="H43" s="19">
        <f>+[1]Consolidado_Q1!R105</f>
        <v>22.854572424717645</v>
      </c>
    </row>
    <row r="44" spans="3:8">
      <c r="C44" s="68" t="str">
        <f>+IF(Índice!$D$2=1,"Saldo de capital","Capital balance")</f>
        <v>Saldo de capital</v>
      </c>
      <c r="D44" s="19">
        <f>+[1]Consolidado_Q1!M106</f>
        <v>853.10008000000016</v>
      </c>
      <c r="E44" s="19">
        <f>+[1]Consolidado_Q1!N106</f>
        <v>818.12142999999992</v>
      </c>
      <c r="F44" s="19">
        <f>+[1]Consolidado_Q1!O106</f>
        <v>1259.9049800000003</v>
      </c>
      <c r="G44" s="19">
        <f>+[1]Consolidado_Q1!P106</f>
        <v>2931.126490000001</v>
      </c>
      <c r="H44" s="19">
        <f>+[1]Consolidado_Q1!R106</f>
        <v>-90.033313865029129</v>
      </c>
    </row>
    <row r="45" spans="3:8">
      <c r="C45" s="68" t="str">
        <f t="array" ref="C45">+IF(Índice!$D$2=1,"Despesa primária","Primary expenditure")</f>
        <v>Despesa primária</v>
      </c>
      <c r="D45" s="19">
        <f>+[1]Consolidado_Q1!M107</f>
        <v>59643.08468</v>
      </c>
      <c r="E45" s="19">
        <f>+[1]Consolidado_Q1!N107</f>
        <v>37248.126879999996</v>
      </c>
      <c r="F45" s="19">
        <f>+[1]Consolidado_Q1!O107</f>
        <v>21785.408549999996</v>
      </c>
      <c r="G45" s="19">
        <f>+[1]Consolidado_Q1!P107</f>
        <v>81328.133199999982</v>
      </c>
      <c r="H45" s="19">
        <f>+[1]Consolidado_Q1!R107</f>
        <v>-60.499650441226649</v>
      </c>
    </row>
    <row r="46" spans="3:8">
      <c r="C46" s="221" t="str">
        <f>+IF(Índice!$D$2=1,"Saldo primário","Primary balance")</f>
        <v>Saldo primário</v>
      </c>
      <c r="D46" s="132">
        <f>+[1]Consolidado_Q1!M108</f>
        <v>51066.79449</v>
      </c>
      <c r="E46" s="132">
        <f>+[1]Consolidado_Q1!N108</f>
        <v>5215.8614000000089</v>
      </c>
      <c r="F46" s="132">
        <f>+[1]Consolidado_Q1!O108</f>
        <v>11770.486710000008</v>
      </c>
      <c r="G46" s="132">
        <f>+[1]Consolidado_Q1!P108</f>
        <v>68053.142600000021</v>
      </c>
      <c r="H46" s="132">
        <f>+[1]Consolidado_Q1!R108</f>
        <v>-17.427909110341776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3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3"/>
      <c r="E48" s="323"/>
      <c r="F48" s="323"/>
      <c r="G48" s="323"/>
    </row>
    <row r="49" spans="3:7" ht="9" customHeight="1">
      <c r="C49" s="323"/>
      <c r="D49" s="323"/>
      <c r="E49" s="323"/>
      <c r="F49" s="323"/>
      <c r="G49" s="323"/>
    </row>
    <row r="50" spans="3:7" ht="9" customHeight="1">
      <c r="C50" s="323"/>
      <c r="D50" s="323"/>
      <c r="E50" s="323"/>
      <c r="F50" s="323"/>
      <c r="G50" s="323"/>
    </row>
    <row r="51" spans="3:7" ht="9" customHeight="1">
      <c r="C51" s="323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3"/>
      <c r="E51" s="323"/>
      <c r="F51" s="323"/>
      <c r="G51" s="323"/>
    </row>
    <row r="52" spans="3:7" ht="9" customHeight="1">
      <c r="C52" s="323"/>
      <c r="D52" s="323"/>
      <c r="E52" s="323"/>
      <c r="F52" s="323"/>
      <c r="G52" s="323"/>
    </row>
    <row r="53" spans="3:7" ht="9" customHeight="1">
      <c r="C53" s="323"/>
      <c r="D53" s="323"/>
      <c r="E53" s="323"/>
      <c r="F53" s="323"/>
      <c r="G53" s="323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F3" sqref="F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(janeiro-fevereiro)","TABLE II - Regional Gov. budget execution (january-february)")</f>
        <v>QUADRO II - Execução orçamental do Gov. Regional (janeiro-fevereiro)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f>+[1]Global_Est_Q2_3!D6</f>
        <v>2025</v>
      </c>
      <c r="E3" s="156">
        <f>+[1]Global_Est_Q2_3!E6</f>
        <v>2026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f>+[1]Global_Est_Q2_3!D8</f>
        <v>217343.02557</v>
      </c>
      <c r="E5" s="225">
        <f>+[1]Global_Est_Q2_3!E8</f>
        <v>219638.53137000004</v>
      </c>
      <c r="F5" s="225">
        <f>+[1]Global_Est_Q2_3!F8</f>
        <v>1.0561672241287123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f>+[1]Global_Est_Q2_3!D9</f>
        <v>146693.13828000001</v>
      </c>
      <c r="E6" s="231">
        <f>+[1]Global_Est_Q2_3!E9</f>
        <v>160617.35809000002</v>
      </c>
      <c r="F6" s="231">
        <f>+[1]Global_Est_Q2_3!F9</f>
        <v>9.4920730262258104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f>+[1]Global_Est_Q2_3!D10</f>
        <v>29860.143929999998</v>
      </c>
      <c r="E7" s="231">
        <f>+[1]Global_Est_Q2_3!E10</f>
        <v>34587.738749999997</v>
      </c>
      <c r="F7" s="231">
        <f>+[1]Global_Est_Q2_3!F10</f>
        <v>15.83245824629218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f>+[1]Global_Est_Q2_3!D11</f>
        <v>116832.99435000001</v>
      </c>
      <c r="E8" s="231">
        <f>+[1]Global_Est_Q2_3!E11</f>
        <v>126029.61934000003</v>
      </c>
      <c r="F8" s="231">
        <f>+[1]Global_Est_Q2_3!F11</f>
        <v>7.8715991498509608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f>+[1]Global_Est_Q2_3!D12</f>
        <v>70649.887289999999</v>
      </c>
      <c r="E9" s="231">
        <f>+[1]Global_Est_Q2_3!E12</f>
        <v>59021.17328000001</v>
      </c>
      <c r="F9" s="231">
        <f>+[1]Global_Est_Q2_3!F12</f>
        <v>-16.459635614515623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f>+[1]Global_Est_Q2_3!D13</f>
        <v>33142.096460000001</v>
      </c>
      <c r="E10" s="232">
        <f>+[1]Global_Est_Q2_3!E13</f>
        <v>6109.4891299999999</v>
      </c>
      <c r="F10" s="232">
        <f>+[1]Global_Est_Q2_3!F13</f>
        <v>-81.565773494824953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f>+[1]Global_Est_Q2_3!D15</f>
        <v>250485.12203</v>
      </c>
      <c r="E12" s="232">
        <f>+[1]Global_Est_Q2_3!E15</f>
        <v>225748.02050000004</v>
      </c>
      <c r="F12" s="232">
        <f>+[1]Global_Est_Q2_3!F15</f>
        <v>-9.8756769781469309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f>+[1]Global_Est_Q2_3!D17</f>
        <v>190235.28023999999</v>
      </c>
      <c r="E14" s="232">
        <f>+[1]Global_Est_Q2_3!E17</f>
        <v>200987.64083999995</v>
      </c>
      <c r="F14" s="232">
        <f>+[1]Global_Est_Q2_3!F17</f>
        <v>5.652138019001951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f>+[1]Global_Est_Q2_3!D18</f>
        <v>62829.175060000001</v>
      </c>
      <c r="E15" s="231">
        <f>+[1]Global_Est_Q2_3!E18</f>
        <v>66999.488999999943</v>
      </c>
      <c r="F15" s="231">
        <f>+[1]Global_Est_Q2_3!F18</f>
        <v>6.6375436825605538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f>+[1]Global_Est_Q2_3!D19</f>
        <v>37061.557839999987</v>
      </c>
      <c r="E16" s="231">
        <f>+[1]Global_Est_Q2_3!E19</f>
        <v>47676.359369999998</v>
      </c>
      <c r="F16" s="231">
        <f>+[1]Global_Est_Q2_3!F19</f>
        <v>28.641002021085082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f>+[1]Global_Est_Q2_3!D20</f>
        <v>18864.496900000002</v>
      </c>
      <c r="E17" s="231">
        <f>+[1]Global_Est_Q2_3!E20</f>
        <v>18845.431550000001</v>
      </c>
      <c r="F17" s="231">
        <f>+[1]Global_Est_Q2_3!F20</f>
        <v>-0.10106471485068491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f>+[1]Global_Est_Q2_3!D21</f>
        <v>71342.566430000006</v>
      </c>
      <c r="E18" s="231">
        <f>+[1]Global_Est_Q2_3!E21</f>
        <v>66102.92336999999</v>
      </c>
      <c r="F18" s="231">
        <f>+[1]Global_Est_Q2_3!F21</f>
        <v>-7.3443433873956021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f>+[1]Global_Est_Q2_3!D22</f>
        <v>61439.325260000005</v>
      </c>
      <c r="E19" s="231">
        <f>+[1]Global_Est_Q2_3!E22</f>
        <v>57714.900059999985</v>
      </c>
      <c r="F19" s="231">
        <f>+[1]Global_Est_Q2_3!F22</f>
        <v>-6.0619565469492542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f>+[1]Global_Est_Q2_3!D23</f>
        <v>9903.2411699999993</v>
      </c>
      <c r="E20" s="231">
        <f>+[1]Global_Est_Q2_3!E23</f>
        <v>8388.0233099999987</v>
      </c>
      <c r="F20" s="231">
        <f>+[1]Global_Est_Q2_3!F23</f>
        <v>-15.300221755581067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f>+[1]Global_Est_Q2_3!D24</f>
        <v>20.881450000000001</v>
      </c>
      <c r="E21" s="231">
        <f>+[1]Global_Est_Q2_3!E24</f>
        <v>1200.9345800000001</v>
      </c>
      <c r="F21" s="231">
        <f>+[1]Global_Est_Q2_3!F24</f>
        <v>5651.2030055384084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f>+[1]Global_Est_Q2_3!D25</f>
        <v>116.60256000000001</v>
      </c>
      <c r="E22" s="231">
        <f>+[1]Global_Est_Q2_3!E25</f>
        <v>162.50296999999998</v>
      </c>
      <c r="F22" s="231">
        <f>+[1]Global_Est_Q2_3!F25</f>
        <v>39.364838988097659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f>+[1]Global_Est_Q2_3!D26</f>
        <v>8643.0912599999992</v>
      </c>
      <c r="E23" s="232">
        <f>+[1]Global_Est_Q2_3!E26</f>
        <v>6800.742760000001</v>
      </c>
      <c r="F23" s="232">
        <f>+[1]Global_Est_Q2_3!F26</f>
        <v>-21.315851523243069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f>+[1]Global_Est_Q2_3!D27</f>
        <v>5236.0409599999994</v>
      </c>
      <c r="E24" s="231">
        <f>+[1]Global_Est_Q2_3!E27</f>
        <v>1349.3788</v>
      </c>
      <c r="F24" s="231">
        <f>+[1]Global_Est_Q2_3!F27</f>
        <v>-74.229025129704112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f>+[1]Global_Est_Q2_3!D28</f>
        <v>3407.0502999999999</v>
      </c>
      <c r="E25" s="231">
        <f>+[1]Global_Est_Q2_3!E28</f>
        <v>5451.3639600000006</v>
      </c>
      <c r="F25" s="231">
        <f>+[1]Global_Est_Q2_3!F28</f>
        <v>60.002450213312095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f>+[1]Global_Est_Q2_3!D29</f>
        <v>1067.0502999999999</v>
      </c>
      <c r="E26" s="231">
        <f>+[1]Global_Est_Q2_3!E29</f>
        <v>2680.7208799999999</v>
      </c>
      <c r="F26" s="231">
        <f>+[1]Global_Est_Q2_3!F29</f>
        <v>151.22722705761856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f>+[1]Global_Est_Q2_3!D30</f>
        <v>2340</v>
      </c>
      <c r="E27" s="231">
        <f>+[1]Global_Est_Q2_3!E30</f>
        <v>2770.6430800000003</v>
      </c>
      <c r="F27" s="231">
        <f>+[1]Global_Est_Q2_3!F30</f>
        <v>18.403550427350446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f>+[1]Global_Est_Q2_3!D33</f>
        <v>198878.37149999998</v>
      </c>
      <c r="E29" s="235">
        <f>+[1]Global_Est_Q2_3!E33</f>
        <v>207788.38359999994</v>
      </c>
      <c r="F29" s="235">
        <f>+[1]Global_Est_Q2_3!F33</f>
        <v>4.4801312645502911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f>+[1]Global_Est_Q2_3!D35</f>
        <v>51606.750530000005</v>
      </c>
      <c r="E31" s="139">
        <f>+[1]Global_Est_Q2_3!E35</f>
        <v>17959.636900000092</v>
      </c>
      <c r="F31" s="139">
        <f>+[1]Global_Est_Q2_3!F35</f>
        <v>-65.199054938442984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f>+[1]Global_Est_Q2_3!D37</f>
        <v>27107.745330000005</v>
      </c>
      <c r="E33" s="19">
        <f>+[1]Global_Est_Q2_3!E37</f>
        <v>18650.890530000092</v>
      </c>
      <c r="F33" s="19">
        <f>+[1]Global_Est_Q2_3!F37</f>
        <v>-31.197189943498383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f>+[1]Global_Est_Q2_3!D38</f>
        <v>24499.0052</v>
      </c>
      <c r="E34" s="19">
        <f>+[1]Global_Est_Q2_3!E38</f>
        <v>-691.25363000000107</v>
      </c>
      <c r="F34" s="19">
        <f>+[1]Global_Est_Q2_3!F38</f>
        <v>-102.82155795452464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f>+[1]Global_Est_Q2_3!D39</f>
        <v>70471.247430000003</v>
      </c>
      <c r="E35" s="19">
        <f>+[1]Global_Est_Q2_3!E39</f>
        <v>36805.068450000093</v>
      </c>
      <c r="F35" s="19">
        <f>+[1]Global_Est_Q2_3!F39</f>
        <v>-47.772928971409165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f>+[1]Global_Est_Q2_3!D40</f>
        <v>608.14400000000001</v>
      </c>
      <c r="E36" s="106">
        <f>+[1]Global_Est_Q2_3!E40</f>
        <v>0</v>
      </c>
      <c r="F36" s="106">
        <f>+[1]Global_Est_Q2_3!F40</f>
        <v>-100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4"/>
      <c r="D38" s="324"/>
      <c r="E38" s="324"/>
      <c r="F38" s="324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E3" sqref="E3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(fevereiro)","TABLE III - Regional Gov. budget execution (february)")</f>
        <v>QUADRO III - Execução orçamental do Gov. Regional (fevereiro)</v>
      </c>
      <c r="D2" s="224"/>
      <c r="E2" s="225"/>
      <c r="F2" s="49" t="str">
        <f>+IF(Índice!$D$2=1,"€ Milhares","€ Thousands")</f>
        <v>€ Milhares</v>
      </c>
      <c r="G2"/>
      <c r="H2" s="290" t="str">
        <f>+IF(Índice!$D$2=1,"índice","Index")</f>
        <v>índice</v>
      </c>
      <c r="K2" s="18"/>
      <c r="Z2" s="7"/>
      <c r="AC2" s="18"/>
    </row>
    <row r="3" spans="2:29" ht="35.1" customHeight="1">
      <c r="C3" s="291"/>
      <c r="D3" s="292">
        <f>+[1]Global_Est_Q2_3!D54</f>
        <v>2025</v>
      </c>
      <c r="E3" s="292">
        <f>+[1]Global_Est_Q2_3!E54</f>
        <v>2026</v>
      </c>
      <c r="F3" s="292" t="str">
        <f>+[1]Global_Est_Q2_3!F54</f>
        <v>VH (%)</v>
      </c>
      <c r="G3"/>
      <c r="H3" s="23"/>
      <c r="Z3" s="7"/>
      <c r="AC3" s="18"/>
    </row>
    <row r="4" spans="2:29" ht="6.75" customHeight="1">
      <c r="C4" s="101"/>
      <c r="D4" s="293"/>
      <c r="E4" s="294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f>+[1]Global_Est_Q2_3!D56</f>
        <v>113700.88649000002</v>
      </c>
      <c r="E5" s="225">
        <f>+[1]Global_Est_Q2_3!E56</f>
        <v>111246.51089000003</v>
      </c>
      <c r="F5" s="225">
        <f>+[1]Global_Est_Q2_3!F56</f>
        <v>-2.1586248584049894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f>+[1]Global_Est_Q2_3!D57</f>
        <v>94564.480620000017</v>
      </c>
      <c r="E6" s="231">
        <f>+[1]Global_Est_Q2_3!E57</f>
        <v>107162.84305000002</v>
      </c>
      <c r="F6" s="231">
        <f>+[1]Global_Est_Q2_3!F57</f>
        <v>13.322510045421332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f>+[1]Global_Est_Q2_3!D58</f>
        <v>29860.143929999998</v>
      </c>
      <c r="E7" s="231">
        <f>+[1]Global_Est_Q2_3!E58</f>
        <v>34587.738749999997</v>
      </c>
      <c r="F7" s="231">
        <f>+[1]Global_Est_Q2_3!F58</f>
        <v>15.83245824629218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f>+[1]Global_Est_Q2_3!D59</f>
        <v>64704.336690000011</v>
      </c>
      <c r="E8" s="231">
        <f>+[1]Global_Est_Q2_3!E59</f>
        <v>72575.104300000035</v>
      </c>
      <c r="F8" s="231">
        <f>+[1]Global_Est_Q2_3!F59</f>
        <v>12.164204151738778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f>+[1]Global_Est_Q2_3!D60</f>
        <v>19136.405869999999</v>
      </c>
      <c r="E9" s="231">
        <f>+[1]Global_Est_Q2_3!E60</f>
        <v>4083.6678399999978</v>
      </c>
      <c r="F9" s="231">
        <f>+[1]Global_Est_Q2_3!F60</f>
        <v>-78.660215153557473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f>+[1]Global_Est_Q2_3!D61</f>
        <v>10475.395850000001</v>
      </c>
      <c r="E10" s="232">
        <f>+[1]Global_Est_Q2_3!E61</f>
        <v>3791.6304400000004</v>
      </c>
      <c r="F10" s="232">
        <f>+[1]Global_Est_Q2_3!F61</f>
        <v>-63.804418522284287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f>+[1]Global_Est_Q2_3!D63</f>
        <v>124176.28234000002</v>
      </c>
      <c r="E12" s="232">
        <f>+[1]Global_Est_Q2_3!E63</f>
        <v>115038.14133000003</v>
      </c>
      <c r="F12" s="232">
        <f>+[1]Global_Est_Q2_3!F63</f>
        <v>-7.3590067586170482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5"/>
      <c r="M13" s="296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f>+[1]Global_Est_Q2_3!D65</f>
        <v>106271.06197000004</v>
      </c>
      <c r="E14" s="232">
        <f>+[1]Global_Est_Q2_3!E65</f>
        <v>125597.17577999989</v>
      </c>
      <c r="F14" s="232">
        <f>+[1]Global_Est_Q2_3!F65</f>
        <v>18.185678633244052</v>
      </c>
      <c r="G14"/>
      <c r="H14" s="23"/>
      <c r="K14" s="23"/>
      <c r="M14" s="297">
        <v>0</v>
      </c>
      <c r="N14" s="298"/>
      <c r="O14" s="298"/>
      <c r="P14" s="298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f>+[1]Global_Est_Q2_3!D66</f>
        <v>35110.117810000032</v>
      </c>
      <c r="E15" s="231">
        <f>+[1]Global_Est_Q2_3!E66</f>
        <v>35257.30571999996</v>
      </c>
      <c r="F15" s="231">
        <f>+[1]Global_Est_Q2_3!F66</f>
        <v>0.4192179325527734</v>
      </c>
      <c r="G15"/>
      <c r="H15" s="23"/>
      <c r="N15" s="298"/>
      <c r="O15" s="298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f>+[1]Global_Est_Q2_3!D67</f>
        <v>34833.849839999988</v>
      </c>
      <c r="E16" s="231">
        <f>+[1]Global_Est_Q2_3!E67</f>
        <v>34529.273890000004</v>
      </c>
      <c r="F16" s="231">
        <f>+[1]Global_Est_Q2_3!F67</f>
        <v>-0.87436775262846878</v>
      </c>
      <c r="G16"/>
      <c r="H16" s="23"/>
      <c r="I16" s="24"/>
      <c r="N16" s="298"/>
      <c r="O16" s="298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f>+[1]Global_Est_Q2_3!D68</f>
        <v>301.80729000000656</v>
      </c>
      <c r="E17" s="231">
        <f>+[1]Global_Est_Q2_3!E68</f>
        <v>1633.2925599999987</v>
      </c>
      <c r="F17" s="231">
        <f>+[1]Global_Est_Q2_3!F68</f>
        <v>441.17067881294821</v>
      </c>
      <c r="G17"/>
      <c r="H17" s="23"/>
      <c r="I17" s="24"/>
      <c r="N17" s="298"/>
      <c r="O17" s="298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f>+[1]Global_Est_Q2_3!D69</f>
        <v>35912.452310000008</v>
      </c>
      <c r="E18" s="231">
        <f>+[1]Global_Est_Q2_3!E69</f>
        <v>52931.662259999917</v>
      </c>
      <c r="F18" s="231">
        <f>+[1]Global_Est_Q2_3!F69</f>
        <v>47.390832024191297</v>
      </c>
      <c r="G18"/>
      <c r="H18" s="23"/>
      <c r="I18" s="24"/>
      <c r="N18" s="298"/>
      <c r="O18" s="298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f>+[1]Global_Est_Q2_3!D70</f>
        <v>20.881450000000001</v>
      </c>
      <c r="E19" s="231">
        <f>+[1]Global_Est_Q2_3!E70</f>
        <v>1103.4059600000001</v>
      </c>
      <c r="F19" s="231">
        <f>+[1]Global_Est_Q2_3!F70</f>
        <v>5184.1443482133664</v>
      </c>
      <c r="G19"/>
      <c r="H19" s="23"/>
      <c r="I19" s="24"/>
      <c r="N19" s="298"/>
      <c r="O19" s="298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f>+[1]Global_Est_Q2_3!D71</f>
        <v>91.953270000000018</v>
      </c>
      <c r="E20" s="231">
        <f>+[1]Global_Est_Q2_3!E71</f>
        <v>142.23538999999997</v>
      </c>
      <c r="F20" s="231">
        <f>+[1]Global_Est_Q2_3!F71</f>
        <v>54.682253279301477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f>+[1]Global_Est_Q2_3!D72</f>
        <v>5754.4737799999994</v>
      </c>
      <c r="E21" s="232">
        <f>+[1]Global_Est_Q2_3!E72</f>
        <v>5335.9841500000011</v>
      </c>
      <c r="F21" s="232">
        <f>+[1]Global_Est_Q2_3!F72</f>
        <v>-7.2724222231141722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f>+[1]Global_Est_Q2_3!D73</f>
        <v>5113.359199999999</v>
      </c>
      <c r="E22" s="231">
        <f>+[1]Global_Est_Q2_3!E73</f>
        <v>1344.9531100000002</v>
      </c>
      <c r="F22" s="231">
        <f>+[1]Global_Est_Q2_3!F73</f>
        <v>-73.697269106383118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f>+[1]Global_Est_Q2_3!D74</f>
        <v>641.11458000000005</v>
      </c>
      <c r="E23" s="231">
        <f>+[1]Global_Est_Q2_3!E74</f>
        <v>3991.0310400000008</v>
      </c>
      <c r="F23" s="231">
        <f>+[1]Global_Est_Q2_3!F74</f>
        <v>522.5144715941417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299">
        <f>+[1]Global_Est_Q2_3!D79</f>
        <v>112025.53575000004</v>
      </c>
      <c r="E25" s="299">
        <f>+[1]Global_Est_Q2_3!E79</f>
        <v>130933.15992999989</v>
      </c>
      <c r="F25" s="299">
        <f>+[1]Global_Est_Q2_3!F79</f>
        <v>16.877959166555321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5" t="str">
        <f>+IF(Índice!$D$2=1,"Saldo global","Overall balance")</f>
        <v>Saldo global</v>
      </c>
      <c r="D27" s="286">
        <f>+[1]Global_Est_Q2_3!D81</f>
        <v>12150.746589999981</v>
      </c>
      <c r="E27" s="286">
        <f>+[1]Global_Est_Q2_3!E81</f>
        <v>-15895.018599999865</v>
      </c>
      <c r="F27" s="286">
        <f>+[1]Global_Est_Q2_3!F81</f>
        <v>-230.81516005840666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f>+[1]Global_Est_Q2_3!D83</f>
        <v>7429.8245199999801</v>
      </c>
      <c r="E29" s="19">
        <f>+[1]Global_Est_Q2_3!E83</f>
        <v>-14350.664889999854</v>
      </c>
      <c r="F29" s="19">
        <f>+[1]Global_Est_Q2_3!F83</f>
        <v>-293.1494458768172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f>+[1]Global_Est_Q2_3!D84</f>
        <v>4720.9220700000014</v>
      </c>
      <c r="E30" s="19">
        <f>+[1]Global_Est_Q2_3!E84</f>
        <v>-1544.3537100000008</v>
      </c>
      <c r="F30" s="19">
        <f>+[1]Global_Est_Q2_3!F84</f>
        <v>-132.7129676597267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f>+[1]Global_Est_Q2_3!D85</f>
        <v>12452.553879999987</v>
      </c>
      <c r="E31" s="19">
        <f>+[1]Global_Est_Q2_3!E85</f>
        <v>-14261.726039999867</v>
      </c>
      <c r="F31" s="19">
        <f>+[1]Global_Est_Q2_3!F85</f>
        <v>-214.52852304381986</v>
      </c>
      <c r="H31" s="26"/>
      <c r="J31" s="23"/>
      <c r="K31" s="18"/>
      <c r="Z31" s="7"/>
      <c r="AC31" s="18"/>
    </row>
    <row r="32" spans="3:29" ht="12.75">
      <c r="C32" s="300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1"/>
    </row>
    <row r="33" spans="3:8" ht="27" customHeight="1">
      <c r="C33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4"/>
      <c r="E33" s="324"/>
      <c r="F33" s="324"/>
      <c r="G33" s="302"/>
      <c r="H33" s="302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F3" sqref="F3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(janeiro-fevereiro)","TABLE IV - Regional Gov. tax revenue budget execution (january-february)")</f>
        <v>QUADRO IV - Execução orçamental da receita fiscal do Gov. Reg. (janeiro-fevereiro)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f>+[1]R_Est_Q4_5!E165</f>
        <v>2025</v>
      </c>
      <c r="E3" s="156">
        <f>+[1]R_Est_Q4_5!F165</f>
        <v>2026</v>
      </c>
      <c r="F3" s="240" t="str">
        <f>+IF(Índice!$D$2=1,"Grau de Execução (%)","Execution level (%)")</f>
        <v>Grau de Execução (%)</v>
      </c>
      <c r="G3" s="240" t="str">
        <f>+IF(Índice!$D$2=1,"VH (%)","yoy change (%)")</f>
        <v>VH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f>+[1]R_Est_Q4_5!E167</f>
        <v>146693.13828000001</v>
      </c>
      <c r="E5" s="33">
        <f>+[1]R_Est_Q4_5!F167</f>
        <v>160617.35809000002</v>
      </c>
      <c r="F5" s="270">
        <f>+[1]R_Est_Q4_5!H167</f>
        <v>0.11930391913403084</v>
      </c>
      <c r="G5" s="270">
        <f>+[1]R_Est_Q4_5!G167</f>
        <v>9.4920730262258113E-2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f>+[1]R_Est_Q4_5!E169</f>
        <v>29860.143929999998</v>
      </c>
      <c r="E7" s="70">
        <f>+[1]R_Est_Q4_5!F169</f>
        <v>34587.738749999997</v>
      </c>
      <c r="F7" s="271">
        <f>+[1]R_Est_Q4_5!H169</f>
        <v>7.1130553543000088E-2</v>
      </c>
      <c r="G7" s="271">
        <f>+[1]R_Est_Q4_5!G169</f>
        <v>0.1583245824629218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f>+[1]R_Est_Q4_5!E170</f>
        <v>27756.531489999998</v>
      </c>
      <c r="E8" s="70">
        <f>+[1]R_Est_Q4_5!F170</f>
        <v>28884.474160000002</v>
      </c>
      <c r="F8" s="271">
        <f>+[1]R_Est_Q4_5!H170</f>
        <v>0.10790834057968685</v>
      </c>
      <c r="G8" s="271">
        <f>+[1]R_Est_Q4_5!G170</f>
        <v>4.0637018008045311E-2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f>+[1]R_Est_Q4_5!E171</f>
        <v>2103.6124399999999</v>
      </c>
      <c r="E9" s="70">
        <f>+[1]R_Est_Q4_5!F171</f>
        <v>5703.2645900000007</v>
      </c>
      <c r="F9" s="271">
        <f>+[1]R_Est_Q4_5!H171</f>
        <v>2.6092210718768494E-2</v>
      </c>
      <c r="G9" s="271">
        <f>+[1]R_Est_Q4_5!G171</f>
        <v>1.7111764893346995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f>+[1]R_Est_Q4_5!E172</f>
        <v>0</v>
      </c>
      <c r="E10" s="70">
        <f>+[1]R_Est_Q4_5!F172</f>
        <v>0</v>
      </c>
      <c r="F10" s="271">
        <f>+[1]R_Est_Q4_5!H172</f>
        <v>0</v>
      </c>
      <c r="G10" s="271">
        <f>+[1]R_Est_Q4_5!G172</f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f>+[1]R_Est_Q4_5!E173</f>
        <v>116832.99435000001</v>
      </c>
      <c r="E11" s="70">
        <f>+[1]R_Est_Q4_5!F173</f>
        <v>126029.61934000003</v>
      </c>
      <c r="F11" s="271">
        <f>+[1]R_Est_Q4_5!H173</f>
        <v>0.14654091808672928</v>
      </c>
      <c r="G11" s="271">
        <f>+[1]R_Est_Q4_5!G173</f>
        <v>7.8715991498509608E-2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f>+[1]R_Est_Q4_5!E174</f>
        <v>3559.00218</v>
      </c>
      <c r="E12" s="70">
        <f>+[1]R_Est_Q4_5!F174</f>
        <v>5190.03658</v>
      </c>
      <c r="F12" s="271">
        <f>+[1]R_Est_Q4_5!H174</f>
        <v>8.3040585279999996E-2</v>
      </c>
      <c r="G12" s="271">
        <f>+[1]R_Est_Q4_5!G174</f>
        <v>0.45828418121396042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f>+[1]R_Est_Q4_5!E175</f>
        <v>100158.66703</v>
      </c>
      <c r="E13" s="70">
        <f>+[1]R_Est_Q4_5!F175</f>
        <v>106915.47450000001</v>
      </c>
      <c r="F13" s="271">
        <f>+[1]R_Est_Q4_5!H175</f>
        <v>0.16467662361666244</v>
      </c>
      <c r="G13" s="271">
        <f>+[1]R_Est_Q4_5!G175</f>
        <v>6.7461036277331576E-2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f>+[1]R_Est_Q4_5!E176</f>
        <v>729.65641000000005</v>
      </c>
      <c r="E14" s="70">
        <f>+[1]R_Est_Q4_5!F176</f>
        <v>623.28184999999996</v>
      </c>
      <c r="F14" s="271">
        <f>+[1]R_Est_Q4_5!H176</f>
        <v>8.4489880710315837E-2</v>
      </c>
      <c r="G14" s="271">
        <f>+[1]R_Est_Q4_5!G176</f>
        <v>-0.14578719318041777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f>+[1]R_Est_Q4_5!E177</f>
        <v>4565.9494600000007</v>
      </c>
      <c r="E15" s="70">
        <f>+[1]R_Est_Q4_5!F177</f>
        <v>3125.6977700000002</v>
      </c>
      <c r="F15" s="271">
        <f>+[1]R_Est_Q4_5!H177</f>
        <v>5.9970242022126558E-2</v>
      </c>
      <c r="G15" s="271">
        <f>+[1]R_Est_Q4_5!G177</f>
        <v>-0.31543312132938073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f>+[1]R_Est_Q4_5!E178</f>
        <v>1351.9340499999998</v>
      </c>
      <c r="E16" s="70">
        <f>+[1]R_Est_Q4_5!F178</f>
        <v>1029.0435699999998</v>
      </c>
      <c r="F16" s="271">
        <f>+[1]R_Est_Q4_5!H178</f>
        <v>8.6308421365873148E-2</v>
      </c>
      <c r="G16" s="271">
        <f>+[1]R_Est_Q4_5!G178</f>
        <v>-0.23883596984631028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f>+[1]R_Est_Q4_5!E179</f>
        <v>6467.7852199999998</v>
      </c>
      <c r="E17" s="70">
        <f>+[1]R_Est_Q4_5!F179</f>
        <v>9146.0850699999992</v>
      </c>
      <c r="F17" s="271">
        <f>+[1]R_Est_Q4_5!H179</f>
        <v>0.11898963608088162</v>
      </c>
      <c r="G17" s="271">
        <f>+[1]R_Est_Q4_5!G179</f>
        <v>0.41409845239109533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f>+[1]R_Est_Q4_5!E180</f>
        <v>3605.2310699999998</v>
      </c>
      <c r="E18" s="70">
        <f>+[1]R_Est_Q4_5!F180</f>
        <v>4019.6852499999995</v>
      </c>
      <c r="F18" s="271">
        <f>+[1]R_Est_Q4_5!H180</f>
        <v>9.1510178458820604E-2</v>
      </c>
      <c r="G18" s="271">
        <f>+[1]R_Est_Q4_5!G180</f>
        <v>0.11495911689233274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f>+[1]R_Est_Q4_5!E181</f>
        <v>0</v>
      </c>
      <c r="E19" s="70">
        <f>+[1]R_Est_Q4_5!F181</f>
        <v>807.5723999999999</v>
      </c>
      <c r="F19" s="271">
        <f>+[1]R_Est_Q4_5!H181</f>
        <v>7.9995681115777789E-2</v>
      </c>
      <c r="G19" s="271">
        <f>+[1]R_Est_Q4_5!G181</f>
        <v>0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f>+[1]R_Est_Q4_5!E183</f>
        <v>103791.98375</v>
      </c>
      <c r="E21" s="33">
        <f>+[1]R_Est_Q4_5!F183</f>
        <v>65130.662410000012</v>
      </c>
      <c r="F21" s="270">
        <f>+[1]R_Est_Q4_5!H183</f>
        <v>0.10131856425895643</v>
      </c>
      <c r="G21" s="270">
        <f>+[1]R_Est_Q4_5!G183</f>
        <v>-0.37248850964369384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79" t="str">
        <f>+IF(Índice!$D$2=1,"Receita efetiva","Effective revenue")</f>
        <v>Receita efetiva</v>
      </c>
      <c r="D23" s="139">
        <f>+[1]R_Est_Q4_5!E185</f>
        <v>250485.12203000003</v>
      </c>
      <c r="E23" s="139">
        <f>+[1]R_Est_Q4_5!F185</f>
        <v>225748.02050000004</v>
      </c>
      <c r="F23" s="274">
        <f>+[1]R_Est_Q4_5!H185</f>
        <v>0.11349152621273374</v>
      </c>
      <c r="G23" s="274">
        <f>+[1]R_Est_Q4_5!G185</f>
        <v>-9.8756769781469411E-2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E3" sqref="E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(janeiro-fevereiro)","TABLE V - Regional Gov. non-tax revenue budget execution (january-february)")</f>
        <v>QUADRO V - Execução orçamental da receita não fiscal do Gov. Reg. (janeiro-fevereiro)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f>+[1]R_Est_Q4_5!E197</f>
        <v>2025</v>
      </c>
      <c r="E3" s="156">
        <f>+[1]R_Est_Q4_5!F197</f>
        <v>2026</v>
      </c>
      <c r="F3" s="226" t="str">
        <f>+IF(Índice!$D$2=1,"Grau de Execução (%)","Execution level (%)")</f>
        <v>Grau de Execução (%)</v>
      </c>
      <c r="G3" s="226" t="str">
        <f>+IF(Índice!$D$2=1,"VH (%)","yoy change (%)")</f>
        <v>VH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f>+[1]R_Est_Q4_5!E199</f>
        <v>146693.13828000001</v>
      </c>
      <c r="E5" s="41">
        <f>+[1]R_Est_Q4_5!F199</f>
        <v>160617.35809000002</v>
      </c>
      <c r="F5" s="275">
        <f>+[1]R_Est_Q4_5!H199</f>
        <v>0.11930391913403084</v>
      </c>
      <c r="G5" s="42">
        <f>+[1]R_Est_Q4_5!G199</f>
        <v>9.4920730262258113E-2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6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f>+[1]R_Est_Q4_5!E201</f>
        <v>103791.98375</v>
      </c>
      <c r="E7" s="41">
        <f>+[1]R_Est_Q4_5!F201</f>
        <v>65130.662410000012</v>
      </c>
      <c r="F7" s="275">
        <f>+[1]R_Est_Q4_5!H201</f>
        <v>0.10131856425895643</v>
      </c>
      <c r="G7" s="42">
        <f>+[1]R_Est_Q4_5!G201</f>
        <v>-0.37248850964369384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f>+[1]R_Est_Q4_5!E202</f>
        <v>70649.887289999999</v>
      </c>
      <c r="E8" s="41">
        <f>+[1]R_Est_Q4_5!F202</f>
        <v>59021.17328000001</v>
      </c>
      <c r="F8" s="275">
        <f>+[1]R_Est_Q4_5!H202</f>
        <v>0.14335693171782271</v>
      </c>
      <c r="G8" s="42">
        <f>+[1]R_Est_Q4_5!G202</f>
        <v>-0.16459635614515622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f>+[1]R_Est_Q4_5!E203</f>
        <v>0</v>
      </c>
      <c r="E9" s="71">
        <f>+[1]R_Est_Q4_5!F203</f>
        <v>0</v>
      </c>
      <c r="F9" s="277">
        <f>+[1]R_Est_Q4_5!H203</f>
        <v>0</v>
      </c>
      <c r="G9" s="43">
        <f>+[1]R_Est_Q4_5!G203</f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f>+[1]R_Est_Q4_5!E204</f>
        <v>2601.9973000000005</v>
      </c>
      <c r="E10" s="71">
        <f>+[1]R_Est_Q4_5!F204</f>
        <v>2554.2390900000014</v>
      </c>
      <c r="F10" s="277">
        <f>+[1]R_Est_Q4_5!H204</f>
        <v>5.3016873604078509E-2</v>
      </c>
      <c r="G10" s="43">
        <f>+[1]R_Est_Q4_5!G204</f>
        <v>-1.8354442566100637E-2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f>+[1]R_Est_Q4_5!E205</f>
        <v>12.52552</v>
      </c>
      <c r="E11" s="71">
        <f>+[1]R_Est_Q4_5!F205</f>
        <v>125.60726999999999</v>
      </c>
      <c r="F11" s="277">
        <f>+[1]R_Est_Q4_5!H205</f>
        <v>2.0599710439939082E-2</v>
      </c>
      <c r="G11" s="43">
        <f>+[1]R_Est_Q4_5!G205</f>
        <v>9.0281082142697464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f>+[1]R_Est_Q4_5!E206</f>
        <v>62550.875059999998</v>
      </c>
      <c r="E12" s="71">
        <f>+[1]R_Est_Q4_5!F206</f>
        <v>54215.602180000002</v>
      </c>
      <c r="F12" s="277">
        <f>+[1]R_Est_Q4_5!H206</f>
        <v>0.16023425091768964</v>
      </c>
      <c r="G12" s="43">
        <f>+[1]R_Est_Q4_5!G206</f>
        <v>-0.13325589565301277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f>+[1]R_Est_Q4_5!E207</f>
        <v>1951.8114800000001</v>
      </c>
      <c r="E13" s="47">
        <f>+[1]R_Est_Q4_5!F207</f>
        <v>1902.9137599999999</v>
      </c>
      <c r="F13" s="277">
        <f>+[1]R_Est_Q4_5!H207</f>
        <v>0.11501946413369794</v>
      </c>
      <c r="G13" s="43">
        <f>+[1]R_Est_Q4_5!G207</f>
        <v>-2.5052480990633508E-2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f>+[1]R_Est_Q4_5!E208</f>
        <v>3532.6779299999994</v>
      </c>
      <c r="E14" s="71">
        <f>+[1]R_Est_Q4_5!F208</f>
        <v>222.81098</v>
      </c>
      <c r="F14" s="277">
        <f>+[1]R_Est_Q4_5!H208</f>
        <v>8.785759096735983E-2</v>
      </c>
      <c r="G14" s="43">
        <f>+[1]R_Est_Q4_5!G208</f>
        <v>-0.93692858946810353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f>+[1]R_Est_Q4_5!E209</f>
        <v>0</v>
      </c>
      <c r="E15" s="71">
        <f>+[1]R_Est_Q4_5!F209</f>
        <v>0</v>
      </c>
      <c r="F15" s="277">
        <f>+[1]R_Est_Q4_5!H209</f>
        <v>0</v>
      </c>
      <c r="G15" s="43">
        <f>+[1]R_Est_Q4_5!G209</f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8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f>+[1]R_Est_Q4_5!E211</f>
        <v>33142.096460000001</v>
      </c>
      <c r="E17" s="41">
        <f>+[1]R_Est_Q4_5!F211</f>
        <v>6109.4891299999999</v>
      </c>
      <c r="F17" s="275">
        <f>+[1]R_Est_Q4_5!H211</f>
        <v>2.6433970055734085E-2</v>
      </c>
      <c r="G17" s="42">
        <f>+[1]R_Est_Q4_5!G211</f>
        <v>-0.81565773494824956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f>+[1]R_Est_Q4_5!E212</f>
        <v>19.8948</v>
      </c>
      <c r="E18" s="71">
        <f>+[1]R_Est_Q4_5!F212</f>
        <v>333.9</v>
      </c>
      <c r="F18" s="277">
        <f>+[1]R_Est_Q4_5!H212</f>
        <v>3.6547423264366802E-2</v>
      </c>
      <c r="G18" s="43">
        <f>+[1]R_Est_Q4_5!G212</f>
        <v>15.783280053079196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f>+[1]R_Est_Q4_5!E213</f>
        <v>31664.13967</v>
      </c>
      <c r="E19" s="44">
        <f>+[1]R_Est_Q4_5!F213</f>
        <v>4040.3242700000001</v>
      </c>
      <c r="F19" s="277">
        <f>+[1]R_Est_Q4_5!H213</f>
        <v>1.85496385814959E-2</v>
      </c>
      <c r="G19" s="43">
        <f>+[1]R_Est_Q4_5!G213</f>
        <v>-0.87240063011003011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f>+[1]R_Est_Q4_5!E214</f>
        <v>0</v>
      </c>
      <c r="E20" s="71">
        <f>+[1]R_Est_Q4_5!F214</f>
        <v>0.32080999999999998</v>
      </c>
      <c r="F20" s="277">
        <f>+[1]R_Est_Q4_5!H214</f>
        <v>1.4339158807491171E-2</v>
      </c>
      <c r="G20" s="43">
        <f>+[1]R_Est_Q4_5!G214</f>
        <v>0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f>+[1]R_Est_Q4_5!E216</f>
        <v>1458.0619900000002</v>
      </c>
      <c r="E21" s="47">
        <f>+[1]R_Est_Q4_5!F216</f>
        <v>1734.9440500000001</v>
      </c>
      <c r="F21" s="277">
        <f>+[1]R_Est_Q4_5!H216</f>
        <v>0.4177852837070285</v>
      </c>
      <c r="G21" s="43">
        <f>+[1]R_Est_Q4_5!G216</f>
        <v>0.18989731705440027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5" t="str">
        <f>+IF(Índice!$D$2=1,"Receita efetiva","Effective revenue")</f>
        <v>Receita efetiva</v>
      </c>
      <c r="D23" s="286">
        <f>+[1]R_Est_Q4_5!E218</f>
        <v>250485.12203000003</v>
      </c>
      <c r="E23" s="286">
        <f>+[1]R_Est_Q4_5!F218</f>
        <v>225748.02050000004</v>
      </c>
      <c r="F23" s="287">
        <f>+[1]R_Est_Q4_5!H218</f>
        <v>0.11349152621273374</v>
      </c>
      <c r="G23" s="287">
        <f>+[1]R_Est_Q4_5!G218</f>
        <v>-9.8756769781469411E-2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G3" sqref="G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(janeiro-fevereiro)","TABLE VI - Regional Gov. expenditure budget execution (january-february)")</f>
        <v>QUADRO VI - Execução orçamental das despesas do Governo Regional (janeiro-fevereiro)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6">
        <f>+'[1]D_Est ECO_Q6'!F6</f>
        <v>2025</v>
      </c>
      <c r="E3" s="328">
        <f>+'[1]D_Est ECO_Q6'!H6</f>
        <v>2026</v>
      </c>
      <c r="F3" s="153">
        <f>+'[1]D_Est ECO_Q6'!I6</f>
        <v>2025</v>
      </c>
      <c r="G3" s="153">
        <f>+'[1]D_Est ECO_Q6'!J6</f>
        <v>2026</v>
      </c>
      <c r="H3" s="329" t="str">
        <f>+IF(Índice!$D$2=1,"VH (%)","yoy change (%)")</f>
        <v>VH (%)</v>
      </c>
    </row>
    <row r="4" spans="1:15" ht="12" customHeight="1">
      <c r="C4" s="132"/>
      <c r="D4" s="327">
        <f>+'[1]D_Est ECO_Q6'!F7</f>
        <v>0</v>
      </c>
      <c r="E4" s="327">
        <f>+'[1]D_Est ECO_Q6'!G7</f>
        <v>0</v>
      </c>
      <c r="F4" s="325" t="str">
        <f>+IF(Índice!$D$2=1,"Grau de Execução (%)","Execution level (%)")</f>
        <v>Grau de Execução (%)</v>
      </c>
      <c r="G4" s="325" t="str">
        <f>+IF(Índice!$D$2="PT","Grau de Execução (%)","Execution Level (%)")</f>
        <v>Execution Level (%)</v>
      </c>
      <c r="H4" s="330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f>+'[1]D_Est ECO_Q6'!F8</f>
        <v>190235.28023999999</v>
      </c>
      <c r="E5" s="253">
        <f>+'[1]D_Est ECO_Q6'!H8</f>
        <v>200987.64083999995</v>
      </c>
      <c r="F5" s="253">
        <f>+'[1]D_Est ECO_Q6'!I8</f>
        <v>11.823749311033065</v>
      </c>
      <c r="G5" s="253">
        <f>+'[1]D_Est ECO_Q6'!J8</f>
        <v>11.699153232893758</v>
      </c>
      <c r="H5" s="253">
        <f>+'[1]D_Est ECO_Q6'!L8</f>
        <v>5.6521380190019563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f>+'[1]D_Est ECO_Q6'!F9</f>
        <v>62829.175060000001</v>
      </c>
      <c r="E6" s="74">
        <f>+'[1]D_Est ECO_Q6'!H9</f>
        <v>66999.488999999943</v>
      </c>
      <c r="F6" s="74">
        <f>+'[1]D_Est ECO_Q6'!I9</f>
        <v>12.907842842338807</v>
      </c>
      <c r="G6" s="74">
        <f>+'[1]D_Est ECO_Q6'!J9</f>
        <v>12.541697883487156</v>
      </c>
      <c r="H6" s="254">
        <f>+'[1]D_Est ECO_Q6'!L9</f>
        <v>6.6375436825605556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f>+'[1]D_Est ECO_Q6'!F10</f>
        <v>55385.139079999943</v>
      </c>
      <c r="E7" s="75">
        <f>+'[1]D_Est ECO_Q6'!H10</f>
        <v>56084.412199999955</v>
      </c>
      <c r="F7" s="75">
        <f>+'[1]D_Est ECO_Q6'!I10</f>
        <v>14.514089721949089</v>
      </c>
      <c r="G7" s="75">
        <f>+'[1]D_Est ECO_Q6'!J10</f>
        <v>13.361327925556413</v>
      </c>
      <c r="H7" s="254">
        <f>+'[1]D_Est ECO_Q6'!L10</f>
        <v>1.262564528347508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f>+'[1]D_Est ECO_Q6'!F11</f>
        <v>891.21733999999992</v>
      </c>
      <c r="E8" s="75">
        <f>+'[1]D_Est ECO_Q6'!H11</f>
        <v>913.78484999999989</v>
      </c>
      <c r="F8" s="75">
        <f>+'[1]D_Est ECO_Q6'!I11</f>
        <v>6.1225094985671591</v>
      </c>
      <c r="G8" s="75">
        <f>+'[1]D_Est ECO_Q6'!J11</f>
        <v>5.7545050782239624</v>
      </c>
      <c r="H8" s="254">
        <f>+'[1]D_Est ECO_Q6'!L11</f>
        <v>2.5322117273885145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f>+'[1]D_Est ECO_Q6'!F12</f>
        <v>6552.8186399999968</v>
      </c>
      <c r="E9" s="75">
        <f>+'[1]D_Est ECO_Q6'!H12</f>
        <v>10001.291949999999</v>
      </c>
      <c r="F9" s="75">
        <f>+'[1]D_Est ECO_Q6'!I12</f>
        <v>7.2327033908101344</v>
      </c>
      <c r="G9" s="75">
        <f>+'[1]D_Est ECO_Q6'!J12</f>
        <v>10.145087095632167</v>
      </c>
      <c r="H9" s="254">
        <f>+'[1]D_Est ECO_Q6'!L12</f>
        <v>52.625801192630043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f>+'[1]D_Est ECO_Q6'!F13</f>
        <v>37061.557839999987</v>
      </c>
      <c r="E10" s="75">
        <f>+'[1]D_Est ECO_Q6'!H13</f>
        <v>47676.359369999998</v>
      </c>
      <c r="F10" s="75">
        <f>+'[1]D_Est ECO_Q6'!I13</f>
        <v>16.529312562566563</v>
      </c>
      <c r="G10" s="75">
        <f>+'[1]D_Est ECO_Q6'!J13</f>
        <v>20.200672299033997</v>
      </c>
      <c r="H10" s="254">
        <f>+'[1]D_Est ECO_Q6'!L13</f>
        <v>28.641002021085075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f>+'[1]D_Est ECO_Q6'!F14</f>
        <v>18864.496900000002</v>
      </c>
      <c r="E11" s="75">
        <f>+'[1]D_Est ECO_Q6'!H14</f>
        <v>18845.431550000001</v>
      </c>
      <c r="F11" s="75">
        <f>+'[1]D_Est ECO_Q6'!I14</f>
        <v>13.773291145124883</v>
      </c>
      <c r="G11" s="75">
        <f>+'[1]D_Est ECO_Q6'!J14</f>
        <v>14.470647798172621</v>
      </c>
      <c r="H11" s="254">
        <f>+'[1]D_Est ECO_Q6'!L14</f>
        <v>-0.10106471485068207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f>+'[1]D_Est ECO_Q6'!F15</f>
        <v>71342.566430000006</v>
      </c>
      <c r="E12" s="74">
        <f>+'[1]D_Est ECO_Q6'!H15</f>
        <v>66102.92336999999</v>
      </c>
      <c r="F12" s="74">
        <f>+'[1]D_Est ECO_Q6'!I15</f>
        <v>9.6018704532551187</v>
      </c>
      <c r="G12" s="74">
        <f>+'[1]D_Est ECO_Q6'!J15</f>
        <v>8.268246602845295</v>
      </c>
      <c r="H12" s="254">
        <f>+'[1]D_Est ECO_Q6'!L15</f>
        <v>-7.3443433873955977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f>+'[1]D_Est ECO_Q6'!F16</f>
        <v>61439.325260000005</v>
      </c>
      <c r="E13" s="74">
        <f>+'[1]D_Est ECO_Q6'!H16</f>
        <v>57714.900059999985</v>
      </c>
      <c r="F13" s="74">
        <f>+'[1]D_Est ECO_Q6'!I16</f>
        <v>9.7826976678665183</v>
      </c>
      <c r="G13" s="74">
        <f>+'[1]D_Est ECO_Q6'!J16</f>
        <v>8.7477775066818406</v>
      </c>
      <c r="H13" s="254">
        <f>+'[1]D_Est ECO_Q6'!L16</f>
        <v>-6.0619565469492587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f>+'[1]D_Est ECO_Q6'!F17</f>
        <v>0</v>
      </c>
      <c r="E14" s="75">
        <f>+'[1]D_Est ECO_Q6'!H17</f>
        <v>0</v>
      </c>
      <c r="F14" s="74">
        <f>+'[1]D_Est ECO_Q6'!I17</f>
        <v>0</v>
      </c>
      <c r="G14" s="74">
        <f>+'[1]D_Est ECO_Q6'!J17</f>
        <v>0</v>
      </c>
      <c r="H14" s="254">
        <f>+'[1]D_Est ECO_Q6'!L17</f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f>+'[1]D_Est ECO_Q6'!F18</f>
        <v>61439.325260000005</v>
      </c>
      <c r="E15" s="75">
        <f>+'[1]D_Est ECO_Q6'!H18</f>
        <v>57714.900059999985</v>
      </c>
      <c r="F15" s="75">
        <f>+'[1]D_Est ECO_Q6'!I18</f>
        <v>9.7928305007966667</v>
      </c>
      <c r="G15" s="75">
        <f>+'[1]D_Est ECO_Q6'!J18</f>
        <v>8.7623387230997487</v>
      </c>
      <c r="H15" s="254">
        <f>+'[1]D_Est ECO_Q6'!L18</f>
        <v>-6.0619565469492587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f>+'[1]D_Est ECO_Q6'!F19</f>
        <v>0</v>
      </c>
      <c r="E16" s="75">
        <f>+'[1]D_Est ECO_Q6'!H19</f>
        <v>0</v>
      </c>
      <c r="F16" s="75">
        <f>+'[1]D_Est ECO_Q6'!I19</f>
        <v>0</v>
      </c>
      <c r="G16" s="75">
        <f>+'[1]D_Est ECO_Q6'!J19</f>
        <v>0</v>
      </c>
      <c r="H16" s="254" t="str">
        <f>+'[1]D_Est ECO_Q6'!L19</f>
        <v>-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f>+'[1]D_Est ECO_Q6'!F20</f>
        <v>0</v>
      </c>
      <c r="E17" s="72">
        <f>+'[1]D_Est ECO_Q6'!H20</f>
        <v>0</v>
      </c>
      <c r="F17" s="72">
        <f>+'[1]D_Est ECO_Q6'!I20</f>
        <v>0</v>
      </c>
      <c r="G17" s="72">
        <f>+'[1]D_Est ECO_Q6'!J20</f>
        <v>0</v>
      </c>
      <c r="H17" s="77" t="str">
        <f>+'[1]D_Est ECO_Q6'!L20</f>
        <v>-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f>+'[1]D_Est ECO_Q6'!F21</f>
        <v>9903.2411699999993</v>
      </c>
      <c r="E18" s="75">
        <f>+'[1]D_Est ECO_Q6'!H21</f>
        <v>8388.0233099999987</v>
      </c>
      <c r="F18" s="72">
        <f>+'[1]D_Est ECO_Q6'!I21</f>
        <v>8.6140426194496058</v>
      </c>
      <c r="G18" s="72">
        <f>+'[1]D_Est ECO_Q6'!J21</f>
        <v>6.0037571261672014</v>
      </c>
      <c r="H18" s="77">
        <f>+'[1]D_Est ECO_Q6'!L21</f>
        <v>-15.300221755581065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f>+'[1]D_Est ECO_Q6'!F27</f>
        <v>20.881450000000001</v>
      </c>
      <c r="E19" s="72">
        <f>+'[1]D_Est ECO_Q6'!H27</f>
        <v>1200.9345800000001</v>
      </c>
      <c r="F19" s="72">
        <f>+'[1]D_Est ECO_Q6'!I27</f>
        <v>0.18419649154748535</v>
      </c>
      <c r="G19" s="72">
        <f>+'[1]D_Est ECO_Q6'!J27</f>
        <v>10.141663191627751</v>
      </c>
      <c r="H19" s="77">
        <f>+'[1]D_Est ECO_Q6'!L27</f>
        <v>5651.2030055384084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f>+'[1]D_Est ECO_Q6'!F28</f>
        <v>116.60256000000001</v>
      </c>
      <c r="E20" s="72">
        <f>+'[1]D_Est ECO_Q6'!H28</f>
        <v>162.50296999999998</v>
      </c>
      <c r="F20" s="72">
        <f>+'[1]D_Est ECO_Q6'!I28</f>
        <v>1.7538813926896342</v>
      </c>
      <c r="G20" s="72">
        <f>+'[1]D_Est ECO_Q6'!J28</f>
        <v>2.6266192407576612</v>
      </c>
      <c r="H20" s="77">
        <f>+'[1]D_Est ECO_Q6'!L28</f>
        <v>39.364838988097652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f>+'[1]D_Est ECO_Q6'!F30</f>
        <v>171370.78333999999</v>
      </c>
      <c r="E22" s="78">
        <f>+'[1]D_Est ECO_Q6'!H30</f>
        <v>182142.20928999994</v>
      </c>
      <c r="F22" s="78">
        <f>+'[1]D_Est ECO_Q6'!I30</f>
        <v>11.642346588612996</v>
      </c>
      <c r="G22" s="78">
        <f>+'[1]D_Est ECO_Q6'!J30</f>
        <v>11.471824649829001</v>
      </c>
      <c r="H22" s="76">
        <f>+'[1]D_Est ECO_Q6'!L30</f>
        <v>6.285450611863876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f>+'[1]D_Est ECO_Q6'!F32</f>
        <v>8643.0912599999992</v>
      </c>
      <c r="E24" s="78">
        <f>+'[1]D_Est ECO_Q6'!H32</f>
        <v>6800.742760000001</v>
      </c>
      <c r="F24" s="78">
        <f>+'[1]D_Est ECO_Q6'!I32</f>
        <v>2.6213264672026204</v>
      </c>
      <c r="G24" s="78">
        <f>+'[1]D_Est ECO_Q6'!J32</f>
        <v>1.8420539577216404</v>
      </c>
      <c r="H24" s="76">
        <f>+'[1]D_Est ECO_Q6'!L32</f>
        <v>-21.315851523243069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f>+'[1]D_Est ECO_Q6'!F33</f>
        <v>5236.0409599999994</v>
      </c>
      <c r="E25" s="72">
        <f>+'[1]D_Est ECO_Q6'!H33</f>
        <v>1349.3788</v>
      </c>
      <c r="F25" s="72">
        <f>+'[1]D_Est ECO_Q6'!I33</f>
        <v>2.9642039116078358</v>
      </c>
      <c r="G25" s="72">
        <f>+'[1]D_Est ECO_Q6'!J33</f>
        <v>0.67933403396357028</v>
      </c>
      <c r="H25" s="77">
        <f>+'[1]D_Est ECO_Q6'!L33</f>
        <v>-74.229025129704098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f>+'[1]D_Est ECO_Q6'!F34</f>
        <v>3407.0502999999999</v>
      </c>
      <c r="E26" s="59">
        <f>+'[1]D_Est ECO_Q6'!H34</f>
        <v>5451.3639600000006</v>
      </c>
      <c r="F26" s="59">
        <f>+'[1]D_Est ECO_Q6'!I34</f>
        <v>2.2551352301628715</v>
      </c>
      <c r="G26" s="59">
        <f>+'[1]D_Est ECO_Q6'!J34</f>
        <v>3.2016218447314491</v>
      </c>
      <c r="H26" s="77">
        <f>+'[1]D_Est ECO_Q6'!L34</f>
        <v>60.002450213312109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f>+'[1]D_Est ECO_Q6'!F35</f>
        <v>1067.0502999999999</v>
      </c>
      <c r="E27" s="59">
        <f>+'[1]D_Est ECO_Q6'!H35</f>
        <v>2680.7208799999999</v>
      </c>
      <c r="F27" s="59">
        <f>+'[1]D_Est ECO_Q6'!I35</f>
        <v>1.0094265494839807</v>
      </c>
      <c r="G27" s="59">
        <f>+'[1]D_Est ECO_Q6'!J35</f>
        <v>2.7179480711408011</v>
      </c>
      <c r="H27" s="77">
        <f>+'[1]D_Est ECO_Q6'!L35</f>
        <v>151.22722705761856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f>+'[1]D_Est ECO_Q6'!F36</f>
        <v>857.71044999999992</v>
      </c>
      <c r="E28" s="72">
        <f>+'[1]D_Est ECO_Q6'!H36</f>
        <v>726.08228000000008</v>
      </c>
      <c r="F28" s="72">
        <f>+'[1]D_Est ECO_Q6'!I36</f>
        <v>7.8269928953817471</v>
      </c>
      <c r="G28" s="72">
        <f>+'[1]D_Est ECO_Q6'!J36</f>
        <v>7.3985218694781683</v>
      </c>
      <c r="H28" s="77">
        <f>+'[1]D_Est ECO_Q6'!L36</f>
        <v>-15.346457537039434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f>+'[1]D_Est ECO_Q6'!F37</f>
        <v>209.33985000000001</v>
      </c>
      <c r="E29" s="72">
        <f>+'[1]D_Est ECO_Q6'!H37</f>
        <v>1954.6386</v>
      </c>
      <c r="F29" s="72">
        <f>+'[1]D_Est ECO_Q6'!I37</f>
        <v>0.24546924586151148</v>
      </c>
      <c r="G29" s="72">
        <f>+'[1]D_Est ECO_Q6'!J37</f>
        <v>2.2788972626222863</v>
      </c>
      <c r="H29" s="77">
        <f>+'[1]D_Est ECO_Q6'!L37</f>
        <v>833.71548704176473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f>+'[1]D_Est ECO_Q6'!F38</f>
        <v>0</v>
      </c>
      <c r="E30" s="72">
        <f>+'[1]D_Est ECO_Q6'!H38</f>
        <v>0</v>
      </c>
      <c r="F30" s="72">
        <f>+'[1]D_Est ECO_Q6'!I38</f>
        <v>0</v>
      </c>
      <c r="G30" s="72">
        <f>+'[1]D_Est ECO_Q6'!J38</f>
        <v>0</v>
      </c>
      <c r="H30" s="77" t="str">
        <f>+'[1]D_Est ECO_Q6'!L38</f>
        <v>-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f>+'[1]D_Est ECO_Q6'!F46</f>
        <v>0</v>
      </c>
      <c r="E31" s="75">
        <f>+'[1]D_Est ECO_Q6'!H46</f>
        <v>0</v>
      </c>
      <c r="F31" s="75">
        <f>+'[1]D_Est ECO_Q6'!I46</f>
        <v>0</v>
      </c>
      <c r="G31" s="75">
        <f>+'[1]D_Est ECO_Q6'!J46</f>
        <v>0</v>
      </c>
      <c r="H31" s="77">
        <f>+'[1]D_Est ECO_Q6'!L46</f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f>+'[1]D_Est ECO_Q6'!F48</f>
        <v>198878.37149999998</v>
      </c>
      <c r="E33" s="142">
        <f>+'[1]D_Est ECO_Q6'!H48</f>
        <v>207788.38359999994</v>
      </c>
      <c r="F33" s="143">
        <f>+'[1]D_Est ECO_Q6'!I48</f>
        <v>10.25861582886259</v>
      </c>
      <c r="G33" s="143">
        <f>+'[1]D_Est ECO_Q6'!J48</f>
        <v>9.9555518499369313</v>
      </c>
      <c r="H33" s="141">
        <f>+'[1]D_Est ECO_Q6'!L48</f>
        <v>4.4801312645502858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f>+'[1]D_Est ECO_Q6'!F51</f>
        <v>608.14400000000001</v>
      </c>
      <c r="E36" s="150">
        <f>+'[1]D_Est ECO_Q6'!H51</f>
        <v>0</v>
      </c>
      <c r="F36" s="150">
        <f>+'[1]D_Est ECO_Q6'!I51</f>
        <v>3.0833993343969555</v>
      </c>
      <c r="G36" s="150">
        <f>+'[1]D_Est ECO_Q6'!J51</f>
        <v>0</v>
      </c>
      <c r="H36" s="128">
        <f>+'[1]D_Est ECO_Q6'!L51</f>
        <v>-100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f>+'[1]D_Est ECO_Q6'!F52</f>
        <v>49952.632819999999</v>
      </c>
      <c r="E37" s="150">
        <f>+'[1]D_Est ECO_Q6'!H52</f>
        <v>44631.723090000007</v>
      </c>
      <c r="F37" s="150">
        <f>+'[1]D_Est ECO_Q6'!I52</f>
        <v>10.770311343630439</v>
      </c>
      <c r="G37" s="150">
        <f>+'[1]D_Est ECO_Q6'!J52</f>
        <v>19.02457173039285</v>
      </c>
      <c r="H37" s="128">
        <f>+'[1]D_Est ECO_Q6'!L52</f>
        <v>-10.651910479220247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0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F5" sqref="F5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(janeiro-fevereiro)","TABLE VII - Regional Gov. expenditure by functional classification (january-february)")</f>
        <v>QUADRO VII - Despesa do Governo Regional, por classificação funcional (janeiro-fevereiro)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28">
        <f>+[1]D_Est_Func_Q7!D6</f>
        <v>2025</v>
      </c>
      <c r="E3" s="331">
        <f>+[1]D_Est_Func_Q7!E6</f>
        <v>2026</v>
      </c>
      <c r="F3" s="332" t="str">
        <f>+IF(Índice!$D$2=1,"Peso na estrutura
 em 2026","Weight in 2026 structure")</f>
        <v>Peso na estrutura
 em 2026</v>
      </c>
      <c r="M3" s="7"/>
      <c r="N3" s="7"/>
      <c r="P3" s="9"/>
      <c r="Q3" s="9"/>
    </row>
    <row r="4" spans="2:17" ht="13.5" customHeight="1">
      <c r="C4" s="134"/>
      <c r="D4" s="327">
        <f>+[1]D_Est_Func_Q7!D7</f>
        <v>0</v>
      </c>
      <c r="E4" s="327">
        <f>+[1]D_Est_Func_Q7!E7</f>
        <v>0</v>
      </c>
      <c r="F4" s="327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f>+[1]D_Est_Func_Q7!D8</f>
        <v>34980.190100000007</v>
      </c>
      <c r="E5" s="34">
        <f>+[1]D_Est_Func_Q7!E8</f>
        <v>42373.179259999983</v>
      </c>
      <c r="F5" s="34">
        <f>+[1]D_Est_Func_Q7!F8</f>
        <v>20.392467820323322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f>+[1]D_Est_Func_Q7!D9</f>
        <v>0</v>
      </c>
      <c r="E6" s="34">
        <f>+[1]D_Est_Func_Q7!E9</f>
        <v>0</v>
      </c>
      <c r="F6" s="34">
        <f>+[1]D_Est_Func_Q7!F9</f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f>+[1]D_Est_Func_Q7!D10</f>
        <v>1415.7533599999995</v>
      </c>
      <c r="E7" s="34">
        <f>+[1]D_Est_Func_Q7!E10</f>
        <v>1695.9424899999999</v>
      </c>
      <c r="F7" s="34">
        <f>+[1]D_Est_Func_Q7!F10</f>
        <v>0.81618734436317164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f>+[1]D_Est_Func_Q7!D11</f>
        <v>38394.399569999958</v>
      </c>
      <c r="E8" s="34">
        <f>+[1]D_Est_Func_Q7!E11</f>
        <v>48446.659220000001</v>
      </c>
      <c r="F8" s="34">
        <f>+[1]D_Est_Func_Q7!F11</f>
        <v>23.315383844200618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f>+[1]D_Est_Func_Q7!D12</f>
        <v>3058.9550400000003</v>
      </c>
      <c r="E9" s="34">
        <f>+[1]D_Est_Func_Q7!E12</f>
        <v>6.7616399999999999</v>
      </c>
      <c r="F9" s="34">
        <f>+[1]D_Est_Func_Q7!F12</f>
        <v>3.2540991381964828E-3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f>+[1]D_Est_Func_Q7!D13</f>
        <v>3185.2092100000004</v>
      </c>
      <c r="E10" s="34">
        <f>+[1]D_Est_Func_Q7!E13</f>
        <v>3122.4351700000002</v>
      </c>
      <c r="F10" s="34">
        <f>+[1]D_Est_Func_Q7!F13</f>
        <v>1.5026995811328892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f>+[1]D_Est_Func_Q7!D14</f>
        <v>52631.154659999986</v>
      </c>
      <c r="E11" s="34">
        <f>+[1]D_Est_Func_Q7!E14</f>
        <v>42363.219109999998</v>
      </c>
      <c r="F11" s="34">
        <f>+[1]D_Est_Func_Q7!F14</f>
        <v>20.387674409918265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f>+[1]D_Est_Func_Q7!D15</f>
        <v>3279.9115599999996</v>
      </c>
      <c r="E12" s="34">
        <f>+[1]D_Est_Func_Q7!E15</f>
        <v>3551.5070800000008</v>
      </c>
      <c r="F12" s="34">
        <f>+[1]D_Est_Func_Q7!F15</f>
        <v>1.7091942381325695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f>+[1]D_Est_Func_Q7!D16</f>
        <v>60410.537179999992</v>
      </c>
      <c r="E13" s="34">
        <f>+[1]D_Est_Func_Q7!E16</f>
        <v>61716.174889999966</v>
      </c>
      <c r="F13" s="34">
        <f>+[1]D_Est_Func_Q7!F16</f>
        <v>29.701455789177224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f>+[1]D_Est_Func_Q7!D17</f>
        <v>1522.26082</v>
      </c>
      <c r="E14" s="34">
        <f>+[1]D_Est_Func_Q7!E17</f>
        <v>4512.5047400000003</v>
      </c>
      <c r="F14" s="34">
        <f>+[1]D_Est_Func_Q7!F17</f>
        <v>2.1716828736137299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f>+[1]D_Est_Func_Q7!D19</f>
        <v>198878.37149999995</v>
      </c>
      <c r="E17" s="145">
        <f>+[1]D_Est_Func_Q7!E19</f>
        <v>207788.38359999997</v>
      </c>
      <c r="F17" s="145">
        <f>+[1]D_Est_Func_Q7!F19</f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f>+[1]D_Est_Func_Q7!D22</f>
        <v>608.14400000000001</v>
      </c>
      <c r="E20" s="152">
        <f>+[1]D_Est_Func_Q7!E22</f>
        <v>0</v>
      </c>
      <c r="F20" s="152">
        <f>+[1]D_Est_Func_Q7!F22</f>
        <v>0</v>
      </c>
      <c r="M20" s="7"/>
      <c r="N20" s="7"/>
      <c r="P20" s="9"/>
      <c r="Q20" s="9"/>
    </row>
    <row r="21" spans="3:17">
      <c r="C21" s="281" t="str">
        <f>+IF(Índice!$D$2=1,"Passivos financeiros","Financial liabilities")</f>
        <v>Passivos financeiros</v>
      </c>
      <c r="D21" s="282">
        <f>+[1]D_Est_Func_Q7!D23</f>
        <v>49952.632819999999</v>
      </c>
      <c r="E21" s="282">
        <f>+[1]D_Est_Func_Q7!E23</f>
        <v>44631.723090000007</v>
      </c>
      <c r="F21" s="282">
        <f>+[1]D_Est_Func_Q7!F23</f>
        <v>21.479412042550781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2.xml><?xml version="1.0" encoding="utf-8"?>
<LongProperties xmlns="http://schemas.microsoft.com/office/2006/metadata/longProperties"/>
</file>

<file path=customXml/item3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2026-03-26T10:28:20Z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