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6\Março\"/>
    </mc:Choice>
  </mc:AlternateContent>
  <xr:revisionPtr revIDLastSave="0" documentId="13_ncr:1_{ABE0214F-F786-4689-9B93-7095F6CDD21A}" xr6:coauthVersionLast="47" xr6:coauthVersionMax="47" xr10:uidLastSave="{00000000-0000-0000-0000-000000000000}"/>
  <bookViews>
    <workbookView xWindow="-289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externalReferences>
    <externalReference r:id="rId17"/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60" l="1"/>
  <c r="C2" i="8"/>
  <c r="C2" i="32"/>
  <c r="C2" i="11"/>
  <c r="C2" i="12"/>
  <c r="C2" i="39"/>
  <c r="C2" i="13"/>
  <c r="C2" i="51"/>
  <c r="C2" i="61"/>
  <c r="C2" i="38"/>
  <c r="C2" i="9"/>
  <c r="C2" i="50"/>
  <c r="C2" i="10"/>
  <c r="D3" i="61"/>
  <c r="D42" i="38"/>
  <c r="C41" i="38"/>
  <c r="D33" i="38"/>
  <c r="C32" i="38"/>
  <c r="D24" i="38"/>
  <c r="C23" i="38"/>
  <c r="D3" i="38"/>
  <c r="I47" i="38"/>
  <c r="H47" i="38"/>
  <c r="G47" i="38"/>
  <c r="F47" i="38"/>
  <c r="E47" i="38"/>
  <c r="D47" i="38"/>
  <c r="I46" i="38"/>
  <c r="H46" i="38"/>
  <c r="G46" i="38"/>
  <c r="F46" i="38"/>
  <c r="E46" i="38"/>
  <c r="D46" i="38"/>
  <c r="I45" i="38"/>
  <c r="H45" i="38"/>
  <c r="G45" i="38"/>
  <c r="F45" i="38"/>
  <c r="E45" i="38"/>
  <c r="D45" i="38"/>
  <c r="I38" i="38"/>
  <c r="H38" i="38"/>
  <c r="G38" i="38"/>
  <c r="F38" i="38"/>
  <c r="E38" i="38"/>
  <c r="D38" i="38"/>
  <c r="I37" i="38"/>
  <c r="H37" i="38"/>
  <c r="G37" i="38"/>
  <c r="F37" i="38"/>
  <c r="E37" i="38"/>
  <c r="D37" i="38"/>
  <c r="I36" i="38"/>
  <c r="H36" i="38"/>
  <c r="G36" i="38"/>
  <c r="F36" i="38"/>
  <c r="E36" i="38"/>
  <c r="D36" i="38"/>
  <c r="I29" i="38"/>
  <c r="H29" i="38"/>
  <c r="G29" i="38"/>
  <c r="F29" i="38"/>
  <c r="E29" i="38"/>
  <c r="D29" i="38"/>
  <c r="I28" i="38"/>
  <c r="H28" i="38"/>
  <c r="G28" i="38"/>
  <c r="F28" i="38"/>
  <c r="E28" i="38"/>
  <c r="D28" i="38"/>
  <c r="I27" i="38"/>
  <c r="H27" i="38"/>
  <c r="G27" i="38"/>
  <c r="F27" i="38"/>
  <c r="E27" i="38"/>
  <c r="D27" i="38"/>
  <c r="I19" i="38"/>
  <c r="H19" i="38"/>
  <c r="G19" i="38"/>
  <c r="F19" i="38"/>
  <c r="E19" i="38"/>
  <c r="D19" i="38"/>
  <c r="I17" i="38"/>
  <c r="H17" i="38"/>
  <c r="G17" i="38"/>
  <c r="F17" i="38"/>
  <c r="E17" i="38"/>
  <c r="D17" i="38"/>
  <c r="I16" i="38"/>
  <c r="H16" i="38"/>
  <c r="G16" i="38"/>
  <c r="F16" i="38"/>
  <c r="E16" i="38"/>
  <c r="D16" i="38"/>
  <c r="I15" i="38"/>
  <c r="H15" i="38"/>
  <c r="G15" i="38"/>
  <c r="F15" i="38"/>
  <c r="E15" i="38"/>
  <c r="D15" i="38"/>
  <c r="I14" i="38"/>
  <c r="H14" i="38"/>
  <c r="G14" i="38"/>
  <c r="F14" i="38"/>
  <c r="E14" i="38"/>
  <c r="D14" i="38"/>
  <c r="I13" i="38"/>
  <c r="H13" i="38"/>
  <c r="G13" i="38"/>
  <c r="F13" i="38"/>
  <c r="E13" i="38"/>
  <c r="D13" i="38"/>
  <c r="I12" i="38"/>
  <c r="H12" i="38"/>
  <c r="G12" i="38"/>
  <c r="F12" i="38"/>
  <c r="E12" i="38"/>
  <c r="D12" i="38"/>
  <c r="I11" i="38"/>
  <c r="H11" i="38"/>
  <c r="G11" i="38"/>
  <c r="F11" i="38"/>
  <c r="E11" i="38"/>
  <c r="D11" i="38"/>
  <c r="I10" i="38"/>
  <c r="H10" i="38"/>
  <c r="G10" i="38"/>
  <c r="F10" i="38"/>
  <c r="E10" i="38"/>
  <c r="D10" i="38"/>
  <c r="I9" i="38"/>
  <c r="H9" i="38"/>
  <c r="G9" i="38"/>
  <c r="F9" i="38"/>
  <c r="E9" i="38"/>
  <c r="D9" i="38"/>
  <c r="I8" i="38"/>
  <c r="H8" i="38"/>
  <c r="G8" i="38"/>
  <c r="F8" i="38"/>
  <c r="E8" i="38"/>
  <c r="D8" i="38"/>
  <c r="I7" i="38"/>
  <c r="H7" i="38"/>
  <c r="G7" i="38"/>
  <c r="F7" i="38"/>
  <c r="E7" i="38"/>
  <c r="D7" i="38"/>
  <c r="I6" i="38"/>
  <c r="H6" i="38"/>
  <c r="G6" i="38"/>
  <c r="F6" i="38"/>
  <c r="E6" i="38"/>
  <c r="D6" i="38"/>
  <c r="F31" i="61"/>
  <c r="E31" i="61"/>
  <c r="D31" i="61"/>
  <c r="F29" i="61"/>
  <c r="E29" i="61"/>
  <c r="D29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5" i="61"/>
  <c r="E15" i="61"/>
  <c r="D15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E7" i="61"/>
  <c r="D7" i="61"/>
  <c r="F6" i="61"/>
  <c r="E6" i="61"/>
  <c r="D6" i="61"/>
  <c r="F5" i="61"/>
  <c r="E5" i="61"/>
  <c r="D5" i="61"/>
  <c r="F44" i="51"/>
  <c r="E44" i="51"/>
  <c r="D44" i="51"/>
  <c r="F40" i="51"/>
  <c r="E40" i="51"/>
  <c r="D40" i="51"/>
  <c r="F39" i="51"/>
  <c r="E39" i="51"/>
  <c r="D39" i="51"/>
  <c r="F38" i="51"/>
  <c r="E38" i="51"/>
  <c r="D38" i="51"/>
  <c r="F36" i="51"/>
  <c r="E36" i="51"/>
  <c r="D36" i="51"/>
  <c r="F34" i="51"/>
  <c r="E34" i="51"/>
  <c r="D34" i="51"/>
  <c r="F33" i="51"/>
  <c r="E33" i="51"/>
  <c r="D33" i="51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6" i="51"/>
  <c r="E26" i="51"/>
  <c r="D26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D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E7" i="51"/>
  <c r="D7" i="51"/>
  <c r="F6" i="51"/>
  <c r="E6" i="51"/>
  <c r="D6" i="51"/>
  <c r="F5" i="51"/>
  <c r="E5" i="51"/>
  <c r="D5" i="51"/>
  <c r="F4" i="51"/>
  <c r="E4" i="51"/>
  <c r="D4" i="51"/>
  <c r="F10" i="13"/>
  <c r="E10" i="13"/>
  <c r="D10" i="13"/>
  <c r="F9" i="13"/>
  <c r="E9" i="13"/>
  <c r="D9" i="13"/>
  <c r="F8" i="13"/>
  <c r="E8" i="13"/>
  <c r="D8" i="13"/>
  <c r="F7" i="13"/>
  <c r="E7" i="13"/>
  <c r="D7" i="13"/>
  <c r="F4" i="13"/>
  <c r="E4" i="13"/>
  <c r="D4" i="13"/>
  <c r="E5" i="39"/>
  <c r="D5" i="39"/>
  <c r="E3" i="39"/>
  <c r="D3" i="39"/>
  <c r="N44" i="12"/>
  <c r="M44" i="12"/>
  <c r="L44" i="12"/>
  <c r="K44" i="12"/>
  <c r="J44" i="12"/>
  <c r="I44" i="12"/>
  <c r="H44" i="12"/>
  <c r="G44" i="12"/>
  <c r="F44" i="12"/>
  <c r="E44" i="12"/>
  <c r="D44" i="12"/>
  <c r="N41" i="12"/>
  <c r="M41" i="12"/>
  <c r="L41" i="12"/>
  <c r="K41" i="12"/>
  <c r="J41" i="12"/>
  <c r="I41" i="12"/>
  <c r="H41" i="12"/>
  <c r="G41" i="12"/>
  <c r="F41" i="12"/>
  <c r="E41" i="12"/>
  <c r="D41" i="12"/>
  <c r="N40" i="12"/>
  <c r="M40" i="12"/>
  <c r="L40" i="12"/>
  <c r="K40" i="12"/>
  <c r="J40" i="12"/>
  <c r="I40" i="12"/>
  <c r="H40" i="12"/>
  <c r="G40" i="12"/>
  <c r="F40" i="12"/>
  <c r="E40" i="12"/>
  <c r="D40" i="12"/>
  <c r="N38" i="12"/>
  <c r="M38" i="12"/>
  <c r="L38" i="12"/>
  <c r="K38" i="12"/>
  <c r="J38" i="12"/>
  <c r="I38" i="12"/>
  <c r="H38" i="12"/>
  <c r="G38" i="12"/>
  <c r="F38" i="12"/>
  <c r="E38" i="12"/>
  <c r="D38" i="12"/>
  <c r="N36" i="12"/>
  <c r="M36" i="12"/>
  <c r="L36" i="12"/>
  <c r="K36" i="12"/>
  <c r="J36" i="12"/>
  <c r="I36" i="12"/>
  <c r="H36" i="12"/>
  <c r="G36" i="12"/>
  <c r="F36" i="12"/>
  <c r="E36" i="12"/>
  <c r="D36" i="12"/>
  <c r="N35" i="12"/>
  <c r="M35" i="12"/>
  <c r="L35" i="12"/>
  <c r="K35" i="12"/>
  <c r="J35" i="12"/>
  <c r="I35" i="12"/>
  <c r="H35" i="12"/>
  <c r="G35" i="12"/>
  <c r="F35" i="12"/>
  <c r="E35" i="12"/>
  <c r="D35" i="12"/>
  <c r="N34" i="12"/>
  <c r="M34" i="12"/>
  <c r="L34" i="12"/>
  <c r="K34" i="12"/>
  <c r="J34" i="12"/>
  <c r="I34" i="12"/>
  <c r="H34" i="12"/>
  <c r="G34" i="12"/>
  <c r="F34" i="12"/>
  <c r="E34" i="12"/>
  <c r="D34" i="12"/>
  <c r="N33" i="12"/>
  <c r="M33" i="12"/>
  <c r="L33" i="12"/>
  <c r="K33" i="12"/>
  <c r="J33" i="12"/>
  <c r="I33" i="12"/>
  <c r="H33" i="12"/>
  <c r="G33" i="12"/>
  <c r="F33" i="12"/>
  <c r="E33" i="12"/>
  <c r="D33" i="12"/>
  <c r="N32" i="12"/>
  <c r="M32" i="12"/>
  <c r="L32" i="12"/>
  <c r="K32" i="12"/>
  <c r="J32" i="12"/>
  <c r="I32" i="12"/>
  <c r="H32" i="12"/>
  <c r="G32" i="12"/>
  <c r="F32" i="12"/>
  <c r="E32" i="12"/>
  <c r="D32" i="12"/>
  <c r="N31" i="12"/>
  <c r="M31" i="12"/>
  <c r="L31" i="12"/>
  <c r="K31" i="12"/>
  <c r="J31" i="12"/>
  <c r="I31" i="12"/>
  <c r="H31" i="12"/>
  <c r="G31" i="12"/>
  <c r="F31" i="12"/>
  <c r="E31" i="12"/>
  <c r="D31" i="12"/>
  <c r="N30" i="12"/>
  <c r="M30" i="12"/>
  <c r="L30" i="12"/>
  <c r="K30" i="12"/>
  <c r="J30" i="12"/>
  <c r="I30" i="12"/>
  <c r="H30" i="12"/>
  <c r="G30" i="12"/>
  <c r="F30" i="12"/>
  <c r="E30" i="12"/>
  <c r="D30" i="12"/>
  <c r="N29" i="12"/>
  <c r="M29" i="12"/>
  <c r="L29" i="12"/>
  <c r="K29" i="12"/>
  <c r="J29" i="12"/>
  <c r="I29" i="12"/>
  <c r="H29" i="12"/>
  <c r="G29" i="12"/>
  <c r="F29" i="12"/>
  <c r="E29" i="12"/>
  <c r="D29" i="12"/>
  <c r="N28" i="12"/>
  <c r="M28" i="12"/>
  <c r="L28" i="12"/>
  <c r="K28" i="12"/>
  <c r="J28" i="12"/>
  <c r="I28" i="12"/>
  <c r="H28" i="12"/>
  <c r="G28" i="12"/>
  <c r="F28" i="12"/>
  <c r="E28" i="12"/>
  <c r="D28" i="12"/>
  <c r="N27" i="12"/>
  <c r="M27" i="12"/>
  <c r="L27" i="12"/>
  <c r="K27" i="12"/>
  <c r="J27" i="12"/>
  <c r="I27" i="12"/>
  <c r="H27" i="12"/>
  <c r="G27" i="12"/>
  <c r="F27" i="12"/>
  <c r="E27" i="12"/>
  <c r="D27" i="12"/>
  <c r="N26" i="12"/>
  <c r="M26" i="12"/>
  <c r="L26" i="12"/>
  <c r="K26" i="12"/>
  <c r="J26" i="12"/>
  <c r="I26" i="12"/>
  <c r="H26" i="12"/>
  <c r="G26" i="12"/>
  <c r="F26" i="12"/>
  <c r="E26" i="12"/>
  <c r="D26" i="12"/>
  <c r="N25" i="12"/>
  <c r="M25" i="12"/>
  <c r="L25" i="12"/>
  <c r="K25" i="12"/>
  <c r="J25" i="12"/>
  <c r="I25" i="12"/>
  <c r="H25" i="12"/>
  <c r="G25" i="12"/>
  <c r="F25" i="12"/>
  <c r="E25" i="12"/>
  <c r="D25" i="12"/>
  <c r="N24" i="12"/>
  <c r="M24" i="12"/>
  <c r="L24" i="12"/>
  <c r="K24" i="12"/>
  <c r="J24" i="12"/>
  <c r="I24" i="12"/>
  <c r="H24" i="12"/>
  <c r="G24" i="12"/>
  <c r="F24" i="12"/>
  <c r="E24" i="12"/>
  <c r="D24" i="12"/>
  <c r="N23" i="12"/>
  <c r="M23" i="12"/>
  <c r="L23" i="12"/>
  <c r="K23" i="12"/>
  <c r="J23" i="12"/>
  <c r="I23" i="12"/>
  <c r="H23" i="12"/>
  <c r="G23" i="12"/>
  <c r="F23" i="12"/>
  <c r="E23" i="12"/>
  <c r="D23" i="12"/>
  <c r="N22" i="12"/>
  <c r="M22" i="12"/>
  <c r="L22" i="12"/>
  <c r="K22" i="12"/>
  <c r="J22" i="12"/>
  <c r="I22" i="12"/>
  <c r="H22" i="12"/>
  <c r="G22" i="12"/>
  <c r="F22" i="12"/>
  <c r="E22" i="12"/>
  <c r="D22" i="12"/>
  <c r="N21" i="12"/>
  <c r="M21" i="12"/>
  <c r="L21" i="12"/>
  <c r="K21" i="12"/>
  <c r="J21" i="12"/>
  <c r="I21" i="12"/>
  <c r="H21" i="12"/>
  <c r="G21" i="12"/>
  <c r="F21" i="12"/>
  <c r="E21" i="12"/>
  <c r="D21" i="12"/>
  <c r="N20" i="12"/>
  <c r="M20" i="12"/>
  <c r="L20" i="12"/>
  <c r="K20" i="12"/>
  <c r="J20" i="12"/>
  <c r="I20" i="12"/>
  <c r="H20" i="12"/>
  <c r="G20" i="12"/>
  <c r="F20" i="12"/>
  <c r="E20" i="12"/>
  <c r="D20" i="12"/>
  <c r="N19" i="12"/>
  <c r="M19" i="12"/>
  <c r="L19" i="12"/>
  <c r="K19" i="12"/>
  <c r="J19" i="12"/>
  <c r="I19" i="12"/>
  <c r="H19" i="12"/>
  <c r="G19" i="12"/>
  <c r="F19" i="12"/>
  <c r="E19" i="12"/>
  <c r="D19" i="12"/>
  <c r="N18" i="12"/>
  <c r="M18" i="12"/>
  <c r="L18" i="12"/>
  <c r="K18" i="12"/>
  <c r="J18" i="12"/>
  <c r="I18" i="12"/>
  <c r="H18" i="12"/>
  <c r="G18" i="12"/>
  <c r="F18" i="12"/>
  <c r="E18" i="12"/>
  <c r="D18" i="12"/>
  <c r="N17" i="12"/>
  <c r="M17" i="12"/>
  <c r="L17" i="12"/>
  <c r="K17" i="12"/>
  <c r="J17" i="12"/>
  <c r="I17" i="12"/>
  <c r="H17" i="12"/>
  <c r="G17" i="12"/>
  <c r="F17" i="12"/>
  <c r="E17" i="12"/>
  <c r="D17" i="12"/>
  <c r="N16" i="12"/>
  <c r="M16" i="12"/>
  <c r="L16" i="12"/>
  <c r="K16" i="12"/>
  <c r="J16" i="12"/>
  <c r="I16" i="12"/>
  <c r="H16" i="12"/>
  <c r="G16" i="12"/>
  <c r="F16" i="12"/>
  <c r="E16" i="12"/>
  <c r="D16" i="12"/>
  <c r="N15" i="12"/>
  <c r="M15" i="12"/>
  <c r="L15" i="12"/>
  <c r="K15" i="12"/>
  <c r="J15" i="12"/>
  <c r="I15" i="12"/>
  <c r="H15" i="12"/>
  <c r="G15" i="12"/>
  <c r="F15" i="12"/>
  <c r="E15" i="12"/>
  <c r="D15" i="12"/>
  <c r="N14" i="12"/>
  <c r="M14" i="12"/>
  <c r="L14" i="12"/>
  <c r="K14" i="12"/>
  <c r="J14" i="12"/>
  <c r="I14" i="12"/>
  <c r="H14" i="12"/>
  <c r="G14" i="12"/>
  <c r="F14" i="12"/>
  <c r="E14" i="12"/>
  <c r="D14" i="12"/>
  <c r="N13" i="12"/>
  <c r="M13" i="12"/>
  <c r="L13" i="12"/>
  <c r="K13" i="12"/>
  <c r="J13" i="12"/>
  <c r="I13" i="12"/>
  <c r="H13" i="12"/>
  <c r="G13" i="12"/>
  <c r="F13" i="12"/>
  <c r="E13" i="12"/>
  <c r="D13" i="12"/>
  <c r="N12" i="12"/>
  <c r="M12" i="12"/>
  <c r="L12" i="12"/>
  <c r="K12" i="12"/>
  <c r="J12" i="12"/>
  <c r="I12" i="12"/>
  <c r="H12" i="12"/>
  <c r="G12" i="12"/>
  <c r="F12" i="12"/>
  <c r="E12" i="12"/>
  <c r="D12" i="12"/>
  <c r="N11" i="12"/>
  <c r="M11" i="12"/>
  <c r="L11" i="12"/>
  <c r="K11" i="12"/>
  <c r="J11" i="12"/>
  <c r="I11" i="12"/>
  <c r="H11" i="12"/>
  <c r="G11" i="12"/>
  <c r="F11" i="12"/>
  <c r="E11" i="12"/>
  <c r="D11" i="12"/>
  <c r="N10" i="12"/>
  <c r="M10" i="12"/>
  <c r="L10" i="12"/>
  <c r="K10" i="12"/>
  <c r="J10" i="12"/>
  <c r="I10" i="12"/>
  <c r="H10" i="12"/>
  <c r="G10" i="12"/>
  <c r="F10" i="12"/>
  <c r="E10" i="12"/>
  <c r="D10" i="12"/>
  <c r="N9" i="12"/>
  <c r="M9" i="12"/>
  <c r="L9" i="12"/>
  <c r="K9" i="12"/>
  <c r="J9" i="12"/>
  <c r="I9" i="12"/>
  <c r="H9" i="12"/>
  <c r="G9" i="12"/>
  <c r="F9" i="12"/>
  <c r="E9" i="12"/>
  <c r="D9" i="12"/>
  <c r="N8" i="12"/>
  <c r="M8" i="12"/>
  <c r="L8" i="12"/>
  <c r="K8" i="12"/>
  <c r="J8" i="12"/>
  <c r="I8" i="12"/>
  <c r="H8" i="12"/>
  <c r="G8" i="12"/>
  <c r="F8" i="12"/>
  <c r="E8" i="12"/>
  <c r="D8" i="12"/>
  <c r="N7" i="12"/>
  <c r="M7" i="12"/>
  <c r="L7" i="12"/>
  <c r="K7" i="12"/>
  <c r="J7" i="12"/>
  <c r="I7" i="12"/>
  <c r="H7" i="12"/>
  <c r="G7" i="12"/>
  <c r="F7" i="12"/>
  <c r="E7" i="12"/>
  <c r="D7" i="12"/>
  <c r="N6" i="12"/>
  <c r="M6" i="12"/>
  <c r="L6" i="12"/>
  <c r="K6" i="12"/>
  <c r="J6" i="12"/>
  <c r="I6" i="12"/>
  <c r="H6" i="12"/>
  <c r="G6" i="12"/>
  <c r="F6" i="12"/>
  <c r="E6" i="12"/>
  <c r="D6" i="12"/>
  <c r="N5" i="12"/>
  <c r="M5" i="12"/>
  <c r="L5" i="12"/>
  <c r="K5" i="12"/>
  <c r="J5" i="12"/>
  <c r="I5" i="12"/>
  <c r="H5" i="12"/>
  <c r="G5" i="12"/>
  <c r="F5" i="12"/>
  <c r="E5" i="12"/>
  <c r="D5" i="12"/>
  <c r="N4" i="12"/>
  <c r="M4" i="12"/>
  <c r="L4" i="12"/>
  <c r="K4" i="12"/>
  <c r="J4" i="12"/>
  <c r="I4" i="12"/>
  <c r="H4" i="12"/>
  <c r="G4" i="12"/>
  <c r="F4" i="12"/>
  <c r="E4" i="12"/>
  <c r="D4" i="12"/>
  <c r="F21" i="11"/>
  <c r="E21" i="11"/>
  <c r="D21" i="11"/>
  <c r="F20" i="11"/>
  <c r="E20" i="11"/>
  <c r="D20" i="11"/>
  <c r="F17" i="11"/>
  <c r="E17" i="11"/>
  <c r="D17" i="11"/>
  <c r="F14" i="11"/>
  <c r="E14" i="11"/>
  <c r="D14" i="11"/>
  <c r="F13" i="11"/>
  <c r="E13" i="11"/>
  <c r="D13" i="11"/>
  <c r="F12" i="11"/>
  <c r="E12" i="11"/>
  <c r="D12" i="11"/>
  <c r="F11" i="11"/>
  <c r="E11" i="11"/>
  <c r="D11" i="11"/>
  <c r="F10" i="11"/>
  <c r="E10" i="11"/>
  <c r="D10" i="11"/>
  <c r="F9" i="11"/>
  <c r="E9" i="11"/>
  <c r="D9" i="11"/>
  <c r="F8" i="11"/>
  <c r="E8" i="11"/>
  <c r="D8" i="11"/>
  <c r="F7" i="11"/>
  <c r="E7" i="11"/>
  <c r="D7" i="11"/>
  <c r="F6" i="11"/>
  <c r="E6" i="11"/>
  <c r="D6" i="11"/>
  <c r="F5" i="11"/>
  <c r="E5" i="11"/>
  <c r="D5" i="11"/>
  <c r="E3" i="11"/>
  <c r="D3" i="11"/>
  <c r="H37" i="10"/>
  <c r="G37" i="10"/>
  <c r="F37" i="10"/>
  <c r="E37" i="10"/>
  <c r="D37" i="10"/>
  <c r="H36" i="10"/>
  <c r="G36" i="10"/>
  <c r="F36" i="10"/>
  <c r="E36" i="10"/>
  <c r="D36" i="10"/>
  <c r="H33" i="10"/>
  <c r="G33" i="10"/>
  <c r="F33" i="10"/>
  <c r="E33" i="10"/>
  <c r="D33" i="10"/>
  <c r="H31" i="10"/>
  <c r="G31" i="10"/>
  <c r="F31" i="10"/>
  <c r="E31" i="10"/>
  <c r="D31" i="10"/>
  <c r="H30" i="10"/>
  <c r="G30" i="10"/>
  <c r="F30" i="10"/>
  <c r="E30" i="10"/>
  <c r="D30" i="10"/>
  <c r="H29" i="10"/>
  <c r="G29" i="10"/>
  <c r="F29" i="10"/>
  <c r="E29" i="10"/>
  <c r="D29" i="10"/>
  <c r="H28" i="10"/>
  <c r="G28" i="10"/>
  <c r="F28" i="10"/>
  <c r="E28" i="10"/>
  <c r="D28" i="10"/>
  <c r="H27" i="10"/>
  <c r="G27" i="10"/>
  <c r="F27" i="10"/>
  <c r="E27" i="10"/>
  <c r="D27" i="10"/>
  <c r="H26" i="10"/>
  <c r="G26" i="10"/>
  <c r="F26" i="10"/>
  <c r="E26" i="10"/>
  <c r="D26" i="10"/>
  <c r="H25" i="10"/>
  <c r="G25" i="10"/>
  <c r="F25" i="10"/>
  <c r="E25" i="10"/>
  <c r="D25" i="10"/>
  <c r="H24" i="10"/>
  <c r="G24" i="10"/>
  <c r="F24" i="10"/>
  <c r="E24" i="10"/>
  <c r="D24" i="10"/>
  <c r="H22" i="10"/>
  <c r="G22" i="10"/>
  <c r="F22" i="10"/>
  <c r="E22" i="10"/>
  <c r="D22" i="10"/>
  <c r="H20" i="10"/>
  <c r="G20" i="10"/>
  <c r="F20" i="10"/>
  <c r="E20" i="10"/>
  <c r="D20" i="10"/>
  <c r="H19" i="10"/>
  <c r="G19" i="10"/>
  <c r="F19" i="10"/>
  <c r="E19" i="10"/>
  <c r="D19" i="10"/>
  <c r="H18" i="10"/>
  <c r="G18" i="10"/>
  <c r="F18" i="10"/>
  <c r="E18" i="10"/>
  <c r="D18" i="10"/>
  <c r="H17" i="10"/>
  <c r="G17" i="10"/>
  <c r="F17" i="10"/>
  <c r="E17" i="10"/>
  <c r="D17" i="10"/>
  <c r="H16" i="10"/>
  <c r="G16" i="10"/>
  <c r="F16" i="10"/>
  <c r="E16" i="10"/>
  <c r="D16" i="10"/>
  <c r="H15" i="10"/>
  <c r="G15" i="10"/>
  <c r="F15" i="10"/>
  <c r="E15" i="10"/>
  <c r="D15" i="10"/>
  <c r="H14" i="10"/>
  <c r="G14" i="10"/>
  <c r="F14" i="10"/>
  <c r="E14" i="10"/>
  <c r="D14" i="10"/>
  <c r="H13" i="10"/>
  <c r="G13" i="10"/>
  <c r="F13" i="10"/>
  <c r="E13" i="10"/>
  <c r="D13" i="10"/>
  <c r="H12" i="10"/>
  <c r="G12" i="10"/>
  <c r="F12" i="10"/>
  <c r="E12" i="10"/>
  <c r="D12" i="10"/>
  <c r="H11" i="10"/>
  <c r="G11" i="10"/>
  <c r="F11" i="10"/>
  <c r="E11" i="10"/>
  <c r="D11" i="10"/>
  <c r="H10" i="10"/>
  <c r="G10" i="10"/>
  <c r="F10" i="10"/>
  <c r="E10" i="10"/>
  <c r="D10" i="10"/>
  <c r="H9" i="10"/>
  <c r="G9" i="10"/>
  <c r="F9" i="10"/>
  <c r="E9" i="10"/>
  <c r="D9" i="10"/>
  <c r="H8" i="10"/>
  <c r="G8" i="10"/>
  <c r="F8" i="10"/>
  <c r="E8" i="10"/>
  <c r="D8" i="10"/>
  <c r="H7" i="10"/>
  <c r="G7" i="10"/>
  <c r="F7" i="10"/>
  <c r="E7" i="10"/>
  <c r="D7" i="10"/>
  <c r="H6" i="10"/>
  <c r="G6" i="10"/>
  <c r="F6" i="10"/>
  <c r="E6" i="10"/>
  <c r="D6" i="10"/>
  <c r="H5" i="10"/>
  <c r="G5" i="10"/>
  <c r="F5" i="10"/>
  <c r="E5" i="10"/>
  <c r="D5" i="10"/>
  <c r="G3" i="10"/>
  <c r="F3" i="10"/>
  <c r="E3" i="10"/>
  <c r="D3" i="10"/>
  <c r="G23" i="50"/>
  <c r="F23" i="50"/>
  <c r="E23" i="50"/>
  <c r="D23" i="50"/>
  <c r="G21" i="50"/>
  <c r="F21" i="50"/>
  <c r="E21" i="50"/>
  <c r="D21" i="50"/>
  <c r="G20" i="50"/>
  <c r="F20" i="50"/>
  <c r="E20" i="50"/>
  <c r="D20" i="50"/>
  <c r="G19" i="50"/>
  <c r="F19" i="50"/>
  <c r="E19" i="50"/>
  <c r="D19" i="50"/>
  <c r="G18" i="50"/>
  <c r="F18" i="50"/>
  <c r="E18" i="50"/>
  <c r="D18" i="50"/>
  <c r="G17" i="50"/>
  <c r="F17" i="50"/>
  <c r="E17" i="50"/>
  <c r="D17" i="50"/>
  <c r="G15" i="50"/>
  <c r="F15" i="50"/>
  <c r="E15" i="50"/>
  <c r="D15" i="50"/>
  <c r="G14" i="50"/>
  <c r="F14" i="50"/>
  <c r="E14" i="50"/>
  <c r="D14" i="50"/>
  <c r="G13" i="50"/>
  <c r="F13" i="50"/>
  <c r="E13" i="50"/>
  <c r="D13" i="50"/>
  <c r="G12" i="50"/>
  <c r="F12" i="50"/>
  <c r="E12" i="50"/>
  <c r="D12" i="50"/>
  <c r="G11" i="50"/>
  <c r="F11" i="50"/>
  <c r="E11" i="50"/>
  <c r="D11" i="50"/>
  <c r="G10" i="50"/>
  <c r="F10" i="50"/>
  <c r="E10" i="50"/>
  <c r="D10" i="50"/>
  <c r="G9" i="50"/>
  <c r="F9" i="50"/>
  <c r="E9" i="50"/>
  <c r="D9" i="50"/>
  <c r="G8" i="50"/>
  <c r="F8" i="50"/>
  <c r="E8" i="50"/>
  <c r="D8" i="50"/>
  <c r="G7" i="50"/>
  <c r="F7" i="50"/>
  <c r="E7" i="50"/>
  <c r="D7" i="50"/>
  <c r="G5" i="50"/>
  <c r="F5" i="50"/>
  <c r="E5" i="50"/>
  <c r="D5" i="50"/>
  <c r="E3" i="50"/>
  <c r="D3" i="50"/>
  <c r="G23" i="9"/>
  <c r="F23" i="9"/>
  <c r="E23" i="9"/>
  <c r="D23" i="9"/>
  <c r="G21" i="9"/>
  <c r="F21" i="9"/>
  <c r="E21" i="9"/>
  <c r="D21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5" i="9"/>
  <c r="F5" i="9"/>
  <c r="E5" i="9"/>
  <c r="D5" i="9"/>
  <c r="E3" i="9"/>
  <c r="D3" i="9"/>
  <c r="F31" i="60"/>
  <c r="E31" i="60"/>
  <c r="D31" i="60"/>
  <c r="F30" i="60"/>
  <c r="E30" i="60"/>
  <c r="D30" i="60"/>
  <c r="F29" i="60"/>
  <c r="E29" i="60"/>
  <c r="D29" i="60"/>
  <c r="F27" i="60"/>
  <c r="E27" i="60"/>
  <c r="D27" i="60"/>
  <c r="F25" i="60"/>
  <c r="E25" i="60"/>
  <c r="D25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2" i="60"/>
  <c r="E12" i="60"/>
  <c r="D12" i="60"/>
  <c r="F10" i="60"/>
  <c r="E10" i="60"/>
  <c r="D10" i="60"/>
  <c r="F9" i="60"/>
  <c r="E9" i="60"/>
  <c r="D9" i="60"/>
  <c r="F8" i="60"/>
  <c r="E8" i="60"/>
  <c r="D8" i="60"/>
  <c r="F7" i="60"/>
  <c r="E7" i="60"/>
  <c r="D7" i="60"/>
  <c r="F6" i="60"/>
  <c r="E6" i="60"/>
  <c r="D6" i="60"/>
  <c r="F5" i="60"/>
  <c r="E5" i="60"/>
  <c r="D5" i="60"/>
  <c r="F3" i="60"/>
  <c r="E3" i="60"/>
  <c r="D3" i="60"/>
  <c r="F36" i="8"/>
  <c r="E36" i="8"/>
  <c r="D36" i="8"/>
  <c r="F35" i="8"/>
  <c r="E35" i="8"/>
  <c r="D35" i="8"/>
  <c r="F34" i="8"/>
  <c r="E34" i="8"/>
  <c r="D34" i="8"/>
  <c r="F33" i="8"/>
  <c r="E33" i="8"/>
  <c r="D33" i="8"/>
  <c r="F31" i="8"/>
  <c r="E31" i="8"/>
  <c r="D31" i="8"/>
  <c r="F29" i="8"/>
  <c r="E29" i="8"/>
  <c r="D29" i="8"/>
  <c r="F27" i="8"/>
  <c r="E27" i="8"/>
  <c r="D27" i="8"/>
  <c r="F26" i="8"/>
  <c r="E26" i="8"/>
  <c r="D26" i="8"/>
  <c r="F25" i="8"/>
  <c r="E25" i="8"/>
  <c r="D25" i="8"/>
  <c r="F24" i="8"/>
  <c r="E24" i="8"/>
  <c r="D24" i="8"/>
  <c r="F23" i="8"/>
  <c r="E23" i="8"/>
  <c r="D23" i="8"/>
  <c r="F22" i="8"/>
  <c r="E22" i="8"/>
  <c r="D22" i="8"/>
  <c r="F21" i="8"/>
  <c r="E21" i="8"/>
  <c r="D21" i="8"/>
  <c r="F20" i="8"/>
  <c r="E20" i="8"/>
  <c r="D20" i="8"/>
  <c r="F19" i="8"/>
  <c r="E19" i="8"/>
  <c r="D19" i="8"/>
  <c r="F18" i="8"/>
  <c r="E18" i="8"/>
  <c r="D18" i="8"/>
  <c r="F17" i="8"/>
  <c r="E17" i="8"/>
  <c r="D17" i="8"/>
  <c r="F16" i="8"/>
  <c r="E16" i="8"/>
  <c r="D16" i="8"/>
  <c r="F15" i="8"/>
  <c r="E15" i="8"/>
  <c r="D15" i="8"/>
  <c r="F14" i="8"/>
  <c r="E14" i="8"/>
  <c r="D14" i="8"/>
  <c r="F12" i="8"/>
  <c r="E12" i="8"/>
  <c r="D12" i="8"/>
  <c r="F10" i="8"/>
  <c r="E10" i="8"/>
  <c r="D10" i="8"/>
  <c r="F9" i="8"/>
  <c r="E9" i="8"/>
  <c r="D9" i="8"/>
  <c r="F8" i="8"/>
  <c r="E8" i="8"/>
  <c r="D8" i="8"/>
  <c r="F7" i="8"/>
  <c r="E7" i="8"/>
  <c r="D7" i="8"/>
  <c r="F6" i="8"/>
  <c r="E6" i="8"/>
  <c r="D6" i="8"/>
  <c r="F5" i="8"/>
  <c r="E5" i="8"/>
  <c r="D5" i="8"/>
  <c r="E3" i="8"/>
  <c r="D3" i="8"/>
  <c r="H46" i="32"/>
  <c r="G46" i="32"/>
  <c r="F46" i="32"/>
  <c r="E46" i="32"/>
  <c r="D46" i="32"/>
  <c r="H45" i="32"/>
  <c r="G45" i="32"/>
  <c r="F45" i="32"/>
  <c r="E45" i="32"/>
  <c r="D45" i="32"/>
  <c r="H44" i="32"/>
  <c r="G44" i="32"/>
  <c r="F44" i="32"/>
  <c r="E44" i="32"/>
  <c r="D44" i="32"/>
  <c r="H43" i="32"/>
  <c r="G43" i="32"/>
  <c r="F43" i="32"/>
  <c r="E43" i="32"/>
  <c r="D43" i="32"/>
  <c r="H42" i="32"/>
  <c r="G42" i="32"/>
  <c r="F42" i="32"/>
  <c r="E42" i="32"/>
  <c r="D42" i="32"/>
  <c r="H41" i="32"/>
  <c r="G41" i="32"/>
  <c r="F41" i="32"/>
  <c r="E41" i="32"/>
  <c r="D41" i="32"/>
  <c r="H39" i="32"/>
  <c r="G39" i="32"/>
  <c r="F39" i="32"/>
  <c r="E39" i="32"/>
  <c r="D39" i="32"/>
  <c r="H38" i="32"/>
  <c r="G38" i="32"/>
  <c r="F38" i="32"/>
  <c r="E38" i="32"/>
  <c r="D38" i="32"/>
  <c r="H36" i="32"/>
  <c r="G36" i="32"/>
  <c r="F36" i="32"/>
  <c r="E36" i="32"/>
  <c r="D36" i="32"/>
  <c r="H35" i="32"/>
  <c r="G35" i="32"/>
  <c r="F35" i="32"/>
  <c r="E35" i="32"/>
  <c r="D35" i="32"/>
  <c r="H34" i="32"/>
  <c r="G34" i="32"/>
  <c r="F34" i="32"/>
  <c r="E34" i="32"/>
  <c r="D34" i="32"/>
  <c r="H33" i="32"/>
  <c r="G33" i="32"/>
  <c r="F33" i="32"/>
  <c r="E33" i="32"/>
  <c r="D33" i="32"/>
  <c r="H32" i="32"/>
  <c r="G32" i="32"/>
  <c r="F32" i="32"/>
  <c r="E32" i="32"/>
  <c r="D32" i="32"/>
  <c r="H31" i="32"/>
  <c r="G31" i="32"/>
  <c r="F31" i="32"/>
  <c r="E31" i="32"/>
  <c r="D31" i="32"/>
  <c r="H30" i="32"/>
  <c r="G30" i="32"/>
  <c r="F30" i="32"/>
  <c r="E30" i="32"/>
  <c r="D30" i="32"/>
  <c r="H29" i="32"/>
  <c r="G29" i="32"/>
  <c r="F29" i="32"/>
  <c r="E29" i="32"/>
  <c r="D29" i="32"/>
  <c r="H28" i="32"/>
  <c r="G28" i="32"/>
  <c r="F28" i="32"/>
  <c r="E28" i="32"/>
  <c r="D28" i="32"/>
  <c r="H27" i="32"/>
  <c r="G27" i="32"/>
  <c r="F27" i="32"/>
  <c r="E27" i="32"/>
  <c r="D27" i="32"/>
  <c r="H26" i="32"/>
  <c r="G26" i="32"/>
  <c r="F26" i="32"/>
  <c r="E26" i="32"/>
  <c r="D26" i="32"/>
  <c r="H25" i="32"/>
  <c r="G25" i="32"/>
  <c r="F25" i="32"/>
  <c r="E25" i="32"/>
  <c r="D25" i="32"/>
  <c r="H24" i="32"/>
  <c r="G24" i="32"/>
  <c r="F24" i="32"/>
  <c r="E24" i="32"/>
  <c r="D24" i="32"/>
  <c r="H23" i="32"/>
  <c r="G23" i="32"/>
  <c r="F23" i="32"/>
  <c r="E23" i="32"/>
  <c r="D23" i="32"/>
  <c r="H22" i="32"/>
  <c r="G22" i="32"/>
  <c r="F22" i="32"/>
  <c r="E22" i="32"/>
  <c r="D22" i="32"/>
  <c r="H21" i="32"/>
  <c r="G21" i="32"/>
  <c r="F21" i="32"/>
  <c r="E21" i="32"/>
  <c r="D21" i="32"/>
  <c r="H20" i="32"/>
  <c r="G20" i="32"/>
  <c r="F20" i="32"/>
  <c r="E20" i="32"/>
  <c r="D20" i="32"/>
  <c r="H19" i="32"/>
  <c r="G19" i="32"/>
  <c r="F19" i="32"/>
  <c r="E19" i="32"/>
  <c r="D19" i="32"/>
  <c r="H18" i="32"/>
  <c r="G18" i="32"/>
  <c r="F18" i="32"/>
  <c r="E18" i="32"/>
  <c r="D18" i="32"/>
  <c r="H17" i="32"/>
  <c r="G17" i="32"/>
  <c r="F17" i="32"/>
  <c r="E17" i="32"/>
  <c r="D17" i="32"/>
  <c r="H16" i="32"/>
  <c r="G16" i="32"/>
  <c r="F16" i="32"/>
  <c r="E16" i="32"/>
  <c r="D16" i="32"/>
  <c r="H15" i="32"/>
  <c r="G15" i="32"/>
  <c r="F15" i="32"/>
  <c r="E15" i="32"/>
  <c r="D15" i="32"/>
  <c r="H14" i="32"/>
  <c r="G14" i="32"/>
  <c r="F14" i="32"/>
  <c r="E14" i="32"/>
  <c r="D14" i="32"/>
  <c r="H13" i="32"/>
  <c r="G13" i="32"/>
  <c r="F13" i="32"/>
  <c r="E13" i="32"/>
  <c r="D13" i="32"/>
  <c r="H12" i="32"/>
  <c r="G12" i="32"/>
  <c r="F12" i="32"/>
  <c r="E12" i="32"/>
  <c r="D12" i="32"/>
  <c r="H11" i="32"/>
  <c r="G11" i="32"/>
  <c r="F11" i="32"/>
  <c r="E11" i="32"/>
  <c r="D11" i="32"/>
  <c r="H10" i="32"/>
  <c r="G10" i="32"/>
  <c r="F10" i="32"/>
  <c r="E10" i="32"/>
  <c r="D10" i="32"/>
  <c r="H9" i="32"/>
  <c r="G9" i="32"/>
  <c r="F9" i="32"/>
  <c r="E9" i="32"/>
  <c r="D9" i="32"/>
  <c r="H8" i="32"/>
  <c r="G8" i="32"/>
  <c r="F8" i="32"/>
  <c r="E8" i="32"/>
  <c r="D8" i="32"/>
  <c r="H7" i="32"/>
  <c r="G7" i="32"/>
  <c r="F7" i="32"/>
  <c r="E7" i="32"/>
  <c r="D7" i="32"/>
  <c r="H6" i="32"/>
  <c r="G6" i="32"/>
  <c r="F6" i="32"/>
  <c r="E6" i="32"/>
  <c r="D6" i="32"/>
  <c r="H5" i="32"/>
  <c r="G5" i="32"/>
  <c r="F5" i="32"/>
  <c r="E5" i="32"/>
  <c r="D5" i="32"/>
  <c r="G3" i="12"/>
  <c r="F3" i="12"/>
  <c r="J1" i="12"/>
  <c r="F3" i="11"/>
  <c r="G3" i="32" l="1"/>
  <c r="G3" i="38"/>
  <c r="G3" i="50"/>
  <c r="G3" i="9"/>
  <c r="A20" i="54"/>
  <c r="E2" i="53"/>
  <c r="K3" i="12"/>
  <c r="H3" i="12"/>
  <c r="L3" i="12" l="1"/>
  <c r="M3" i="12"/>
  <c r="I3" i="12" l="1"/>
  <c r="J3" i="12"/>
  <c r="A15" i="54" l="1"/>
  <c r="A18" i="54" l="1"/>
  <c r="A17" i="54"/>
  <c r="A16" i="54"/>
  <c r="F3" i="50"/>
  <c r="F3" i="9"/>
  <c r="F33" i="38" l="1"/>
  <c r="E33" i="38"/>
  <c r="F42" i="38"/>
  <c r="E42" i="38"/>
  <c r="F24" i="38"/>
  <c r="E24" i="38"/>
  <c r="G24" i="38"/>
  <c r="G33" i="38"/>
  <c r="G42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<sst xmlns="http://schemas.openxmlformats.org/spreadsheetml/2006/main" count="120" uniqueCount="99">
  <si>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</si>
  <si>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</si>
  <si>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</si>
  <si>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</si>
  <si>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</si>
  <si>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</si>
  <si>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</si>
  <si>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</si>
  <si>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</si>
  <si>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</si>
  <si>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</si>
  <si>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</si>
  <si>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</si>
  <si>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</si>
  <si>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Direção Regional das Comunidades e Cooperação Externa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</si>
  <si>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</si>
  <si>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</si>
  <si>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</si>
  <si>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</si>
  <si>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</si>
  <si>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</si>
  <si>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</si>
  <si>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</si>
  <si>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</si>
  <si>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</si>
  <si>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</si>
  <si>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</si>
  <si>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</si>
  <si>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</si>
  <si>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</si>
  <si>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</si>
  <si>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</si>
  <si>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</si>
  <si>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</si>
  <si>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</si>
  <si>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</si>
  <si>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</si>
  <si>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</si>
  <si>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</si>
  <si>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</si>
  <si>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</si>
  <si>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</si>
  <si>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</si>
  <si>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</si>
  <si>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</si>
  <si>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</si>
  <si>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</si>
  <si>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</si>
  <si>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</si>
  <si>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</si>
  <si>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</si>
  <si>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</si>
  <si>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</si>
  <si>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</si>
  <si>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</si>
  <si>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</si>
  <si>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</si>
  <si>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</si>
  <si>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</si>
  <si>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</si>
  <si>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</si>
  <si>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</si>
  <si>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</si>
  <si>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</si>
  <si>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</si>
  <si>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</si>
  <si>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</si>
  <si>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</si>
  <si>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</si>
  <si>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</si>
  <si>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IMT-Instituto de Mobilidade e Transportes, IP-RAM</t>
  </si>
  <si>
    <t>Secretaria Regional de Equipamentos e Infraestruturas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</si>
  <si>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</si>
  <si>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</si>
  <si>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</si>
  <si>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</si>
  <si>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</si>
  <si>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</si>
  <si>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</si>
  <si>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</si>
  <si>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</si>
  <si>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Invest-Madeira- Agência para a Internacionalização e Investimento</t>
  </si>
  <si>
    <t>Secretaria Regional de Turismo, Ambiente e Cultura</t>
  </si>
  <si>
    <t>ARDITI-Agencia Regional Para Desenvolvimento da Inv. Tecnologica e Inovaçao</t>
  </si>
  <si>
    <t>Escola Básica e Secundária Bispo D. Manuel Ferreira Cabral - Santana</t>
  </si>
  <si>
    <t>Direção Regional do Arquivo e Biblioteca da Madeira</t>
  </si>
  <si>
    <t>Direção Regional de Juventude</t>
  </si>
  <si>
    <t>Instituto para a Qualificação</t>
  </si>
  <si>
    <t>Direção Regional do Ordenamento do Território</t>
  </si>
  <si>
    <t>Direção Regional da Saúde</t>
  </si>
  <si>
    <t>Direção Regional de Planeamento, Recursos e Infraestruturas</t>
  </si>
  <si>
    <t>Presidência do Governo Regional</t>
  </si>
  <si>
    <t>Secretaria Regional de Educação, Ciênciua e Tecnologia</t>
  </si>
  <si>
    <t>Serviço Regional de Proteção Civil,IP-RAM</t>
  </si>
  <si>
    <t>IHM-Investimentos Habitacionais da Madeira, EPERAM</t>
  </si>
  <si>
    <t>Instituto de Emprego da Madeira, IP-RAM</t>
  </si>
  <si>
    <t>Direção Regional de Turismo</t>
  </si>
  <si>
    <t>Inspeção Regional de Educação</t>
  </si>
  <si>
    <t>Direção Regional de Agricultura e Desenvolvimento Rural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</si>
</sst>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2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5" fillId="0" borderId="25" xfId="62" applyFont="1" applyBorder="1" applyAlignment="1">
      <alignment horizontal="center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21" xfId="62" applyFont="1" applyBorder="1" applyAlignment="1">
      <alignment horizontal="center" vertical="center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0" fontId="65" fillId="0" borderId="25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04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2026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ROC\DROC\Pagamentos%20em%20atraso\2026\Mar&#231;o\MPA_Mar&#231;o_2026.xlsx" TargetMode="External"/><Relationship Id="rId1" Type="http://schemas.openxmlformats.org/officeDocument/2006/relationships/externalLinkPath" Target="file:///O:\DROC\DROC\Pagamentos%20em%20atraso\2026\Mar&#231;o\MPA_Mar&#231;o_202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ugo.costa\Disco\Boletim%20mensal\2026\Mar&#231;o\Mar&#231;o_2026.xlsx" TargetMode="External"/><Relationship Id="rId1" Type="http://schemas.openxmlformats.org/officeDocument/2006/relationships/externalLinkPath" Target="Mar&#231;o_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TAC"/>
      <sheetName val="SRE"/>
      <sheetName val="SREC"/>
      <sheetName val="SRS"/>
      <sheetName val="SRF"/>
      <sheetName val="SRAP"/>
      <sheetName val="SRITJ"/>
      <sheetName val="SR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 t="str">
            <v xml:space="preserve">Impostos directos </v>
          </cell>
        </row>
        <row r="17">
          <cell r="C17" t="str">
            <v>Impostos indirectos</v>
          </cell>
        </row>
        <row r="33">
          <cell r="C33" t="str">
            <v>Contribuições de Segurança Social</v>
          </cell>
        </row>
        <row r="46">
          <cell r="C46" t="str">
            <v>Outras receitas correntes</v>
          </cell>
        </row>
        <row r="78">
          <cell r="C78" t="str">
            <v>Outras receitas correntes</v>
          </cell>
        </row>
        <row r="109">
          <cell r="C109" t="str">
            <v>Outras receitas correntes</v>
          </cell>
        </row>
        <row r="116">
          <cell r="C116" t="str">
            <v>Outras receitas correntes(das quais:transf. de Outros Subsectores da AP)</v>
          </cell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4">
          <cell r="C134" t="str">
            <v>Outras receitas correntes(das quais:transf. de Outros Subsectores da AP)</v>
          </cell>
        </row>
        <row r="151">
          <cell r="C151" t="str">
            <v>Outras receitas correntes</v>
          </cell>
        </row>
        <row r="180">
          <cell r="C180" t="str">
            <v>Outras receitas correntes</v>
          </cell>
        </row>
        <row r="181">
          <cell r="C181" t="str">
            <v>0802</v>
          </cell>
        </row>
        <row r="185">
          <cell r="C185" t="str">
            <v>0802</v>
          </cell>
        </row>
        <row r="186">
          <cell r="C186" t="str">
            <v>RECEITAS DE CAPITAL</v>
          </cell>
        </row>
        <row r="239">
          <cell r="C239" t="str">
            <v>RECEITAS DE CAPITAL</v>
          </cell>
        </row>
        <row r="246">
          <cell r="C246" t="str">
            <v>RECEITAS DE CAPITAL(das quais:transf. de Outros Subsectores da AP)</v>
          </cell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4">
          <cell r="C264" t="str">
            <v>RECEITAS DE CAPITAL(das quais:transf. de Outros Subsectores da AP)</v>
          </cell>
        </row>
        <row r="280">
          <cell r="C280" t="str">
            <v>ACTIVOS FINANCEIROS RECEITA</v>
          </cell>
        </row>
        <row r="400">
          <cell r="C400" t="str">
            <v>PASSIVOS FINANCEIROS RECEITA</v>
          </cell>
        </row>
        <row r="492">
          <cell r="C492" t="str">
            <v>RECEITAS DE CAPITAL</v>
          </cell>
        </row>
        <row r="497">
          <cell r="C497" t="str">
            <v>RECURSOS PROPRIOS DA COMUNIDADE:</v>
          </cell>
        </row>
        <row r="503">
          <cell r="C503" t="str">
            <v>RECEITAS DE CAPITAL</v>
          </cell>
        </row>
        <row r="506">
          <cell r="C506" t="str">
            <v>SALDO DA GERENCIA ANTERIOR</v>
          </cell>
        </row>
        <row r="513">
          <cell r="C513" t="str">
            <v>OPERACOES EXTRA-ORCAMENTAIS RECEITA</v>
          </cell>
        </row>
        <row r="519">
          <cell r="C519" t="str">
            <v>Despesas com o Pessoal</v>
          </cell>
        </row>
        <row r="562">
          <cell r="C562" t="str">
            <v>Aquisição de  Bens Serv. e Outras Desp. Corr.</v>
          </cell>
        </row>
        <row r="611">
          <cell r="C611" t="str">
            <v>Juros e Outros Encargos</v>
          </cell>
        </row>
        <row r="648">
          <cell r="C648" t="str">
            <v>Transferências Correntes</v>
          </cell>
        </row>
        <row r="650">
          <cell r="C650" t="str">
            <v>Transferências Correntes(das quais:transf. para EP fora do perímetro APR)</v>
          </cell>
        </row>
        <row r="655">
          <cell r="C655" t="str">
            <v>Transferências Correntes(das quais:transf. para Outros Subsectores da AP)</v>
          </cell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93">
          <cell r="C693" t="str">
            <v>Subsidios</v>
          </cell>
        </row>
        <row r="712">
          <cell r="C712" t="str">
            <v>D.05.04.03</v>
          </cell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6">
          <cell r="C736" t="str">
            <v>Investimentos</v>
          </cell>
        </row>
        <row r="770">
          <cell r="C770" t="str">
            <v>Transferências de Capital</v>
          </cell>
        </row>
        <row r="772">
          <cell r="C772" t="str">
            <v>Transferências de Capital(das quais:transf. para EP fora do perímetro APR)</v>
          </cell>
        </row>
        <row r="777">
          <cell r="C777" t="str">
            <v>Transferências de Capital(das quais:transf. para Outros Subsectores da AP)</v>
          </cell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92">
          <cell r="C792" t="str">
            <v>Transferências de Capital(das quais:transf. para Outros Subsectores da AP)</v>
          </cell>
        </row>
        <row r="811">
          <cell r="C811" t="str">
            <v>ACTIVOS FINANCEIROS DESPESA</v>
          </cell>
        </row>
        <row r="965">
          <cell r="C965" t="str">
            <v>PASSIVOS FINANCEIROS DESPESA</v>
          </cell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8">
          <cell r="C1088" t="str">
            <v>OPERACOES EXTRA-ORCAMENTAIS DESPESA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olid"/>
      <sheetName val="ORG_n1"/>
      <sheetName val="CF"/>
      <sheetName val="Adm R"/>
      <sheetName val="Análise"/>
      <sheetName val="DGO_N_Covid"/>
      <sheetName val="DGO__N1"/>
      <sheetName val="DGO_N"/>
      <sheetName val="REC N1"/>
      <sheetName val="DOREC"/>
      <sheetName val="Desp_N1"/>
      <sheetName val="UKR"/>
      <sheetName val="DODES"/>
      <sheetName val="Síntese Global"/>
      <sheetName val="D_SFA"/>
      <sheetName val="R_SFA"/>
      <sheetName val="RAM_CP (REPORTE)"/>
      <sheetName val="Caderno_SIGO"/>
      <sheetName val="GOV mensal-acumulado"/>
      <sheetName val="COVID"/>
      <sheetName val="Consolidado_Q1"/>
      <sheetName val="GRF"/>
      <sheetName val="Global_Est_Q2_3"/>
      <sheetName val="R_Est_Q4_5"/>
      <sheetName val="D_Est ECO_Q6"/>
      <sheetName val="D_Est_Func_Q7"/>
      <sheetName val="D_Est_Org_Q8"/>
      <sheetName val="Saldo_Global EPR_Q9"/>
      <sheetName val="SFA acumulado_Q10_11"/>
      <sheetName val="SFA+EPR mensal-acumulado_Q12"/>
      <sheetName val="Gov+SFA+EPR_Q13_14"/>
      <sheetName val="Compromissos_Q15_16_17_18"/>
      <sheetName val="Orgânica"/>
      <sheetName val="Pagamentos_Atraso (SI)"/>
      <sheetName val="Pagamentos_Atraso (SFA_EPR)"/>
      <sheetName val="Gloss"/>
      <sheetName val="Gloss_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7">
          <cell r="M67">
            <v>317427.26660999999</v>
          </cell>
          <cell r="N67">
            <v>157365.37875999996</v>
          </cell>
          <cell r="O67">
            <v>118500.28975000001</v>
          </cell>
          <cell r="P67">
            <v>372999.17368000001</v>
          </cell>
          <cell r="R67">
            <v>5.8093916810655788</v>
          </cell>
        </row>
        <row r="68">
          <cell r="M68">
            <v>60534.629080000006</v>
          </cell>
          <cell r="N68">
            <v>0</v>
          </cell>
          <cell r="O68">
            <v>0</v>
          </cell>
          <cell r="P68">
            <v>60534.629080000006</v>
          </cell>
          <cell r="R68">
            <v>3.7594857448244756</v>
          </cell>
        </row>
        <row r="69">
          <cell r="M69">
            <v>193919.20668999999</v>
          </cell>
          <cell r="N69">
            <v>0</v>
          </cell>
          <cell r="O69">
            <v>0</v>
          </cell>
          <cell r="P69">
            <v>193919.20668999999</v>
          </cell>
          <cell r="R69">
            <v>6.3271358247790621</v>
          </cell>
        </row>
        <row r="70"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</row>
        <row r="71">
          <cell r="M71">
            <v>62973.430840000001</v>
          </cell>
          <cell r="N71">
            <v>157365.37875999996</v>
          </cell>
          <cell r="O71">
            <v>118500.28975000001</v>
          </cell>
          <cell r="P71">
            <v>90744.467560000019</v>
          </cell>
          <cell r="R71">
            <v>-15.049217269693738</v>
          </cell>
        </row>
        <row r="72">
          <cell r="M72">
            <v>54311.77448</v>
          </cell>
          <cell r="N72">
            <v>152602.62998999996</v>
          </cell>
          <cell r="O72">
            <v>106026.90573</v>
          </cell>
          <cell r="P72">
            <v>64846.678409999993</v>
          </cell>
          <cell r="R72">
            <v>-16.450407178557612</v>
          </cell>
        </row>
        <row r="73">
          <cell r="M73">
            <v>53594.06</v>
          </cell>
          <cell r="N73">
            <v>497.06826000000001</v>
          </cell>
          <cell r="O73">
            <v>0</v>
          </cell>
          <cell r="P73">
            <v>54091.128259999998</v>
          </cell>
          <cell r="R73">
            <v>-14.165650124614071</v>
          </cell>
        </row>
        <row r="74">
          <cell r="M74">
            <v>0</v>
          </cell>
          <cell r="N74">
            <v>143149.76083999997</v>
          </cell>
          <cell r="O74">
            <v>104944.87095</v>
          </cell>
          <cell r="P74">
            <v>0</v>
          </cell>
          <cell r="R74">
            <v>0</v>
          </cell>
        </row>
        <row r="75">
          <cell r="M75"/>
          <cell r="N75"/>
          <cell r="O75"/>
          <cell r="P75">
            <v>27800.870349999968</v>
          </cell>
          <cell r="R75"/>
        </row>
        <row r="76">
          <cell r="M76">
            <v>9045.7839999999997</v>
          </cell>
          <cell r="N76">
            <v>4172.6048999999994</v>
          </cell>
          <cell r="O76">
            <v>5924.89275</v>
          </cell>
          <cell r="P76">
            <v>16787.784189999995</v>
          </cell>
          <cell r="R76">
            <v>-67.308372162952551</v>
          </cell>
        </row>
        <row r="77">
          <cell r="M77">
            <v>365.03</v>
          </cell>
          <cell r="N77">
            <v>0</v>
          </cell>
          <cell r="O77">
            <v>18.527999999999999</v>
          </cell>
          <cell r="P77">
            <v>383.55799999999999</v>
          </cell>
          <cell r="R77">
            <v>-67.890435123874781</v>
          </cell>
        </row>
        <row r="78">
          <cell r="M78">
            <v>6319.8085499999997</v>
          </cell>
          <cell r="N78">
            <v>4150.5823099999998</v>
          </cell>
          <cell r="O78">
            <v>5894.9814399999996</v>
          </cell>
          <cell r="P78">
            <v>13566.882569999998</v>
          </cell>
          <cell r="R78">
            <v>-69.091604781351379</v>
          </cell>
        </row>
        <row r="79">
          <cell r="M79">
            <v>247.29670999999999</v>
          </cell>
          <cell r="N79">
            <v>0</v>
          </cell>
          <cell r="O79">
            <v>0</v>
          </cell>
          <cell r="P79">
            <v>247.29670999999999</v>
          </cell>
          <cell r="R79">
            <v>-99.093192960307789</v>
          </cell>
        </row>
        <row r="80">
          <cell r="M80">
            <v>0</v>
          </cell>
          <cell r="N80">
            <v>1150.81158</v>
          </cell>
          <cell r="O80">
            <v>1647.67815</v>
          </cell>
          <cell r="P80">
            <v>0</v>
          </cell>
          <cell r="R80">
            <v>0</v>
          </cell>
        </row>
        <row r="81">
          <cell r="M81"/>
          <cell r="N81"/>
          <cell r="O81"/>
          <cell r="P81">
            <v>442.99227000000019</v>
          </cell>
          <cell r="R81"/>
        </row>
        <row r="82">
          <cell r="M82">
            <v>326473.05061000003</v>
          </cell>
          <cell r="N82">
            <v>161537.98365999997</v>
          </cell>
          <cell r="O82">
            <v>124425.18250000001</v>
          </cell>
          <cell r="P82">
            <v>389786.95786999998</v>
          </cell>
          <cell r="R82">
            <v>-3.487465304577908</v>
          </cell>
        </row>
        <row r="83">
          <cell r="M83">
            <v>329690.72800999996</v>
          </cell>
          <cell r="N83">
            <v>152956.14158000002</v>
          </cell>
          <cell r="O83">
            <v>112170.45741</v>
          </cell>
          <cell r="P83">
            <v>374523.56555999996</v>
          </cell>
          <cell r="R83">
            <v>10.196401477249694</v>
          </cell>
        </row>
        <row r="84">
          <cell r="M84">
            <v>171331.51200000002</v>
          </cell>
          <cell r="N84">
            <v>37051.717530000009</v>
          </cell>
          <cell r="O84">
            <v>108383.39154</v>
          </cell>
          <cell r="P84">
            <v>316766.62106999999</v>
          </cell>
          <cell r="R84">
            <v>13.094876574579528</v>
          </cell>
        </row>
        <row r="85">
          <cell r="M85">
            <v>113669.44981000003</v>
          </cell>
          <cell r="N85">
            <v>15146.107900000003</v>
          </cell>
          <cell r="O85">
            <v>76495.83974000001</v>
          </cell>
          <cell r="P85">
            <v>205311.39745000005</v>
          </cell>
          <cell r="R85">
            <v>9.423991437629331</v>
          </cell>
        </row>
        <row r="86">
          <cell r="M86">
            <v>57662.06218999999</v>
          </cell>
          <cell r="N86">
            <v>21905.609630000003</v>
          </cell>
          <cell r="O86">
            <v>31887.55179999999</v>
          </cell>
          <cell r="P86">
            <v>111455.22361999998</v>
          </cell>
          <cell r="R86">
            <v>20.544206642391984</v>
          </cell>
        </row>
        <row r="87">
          <cell r="M87">
            <v>1215.9403800000002</v>
          </cell>
          <cell r="N87">
            <v>7818.1990300000007</v>
          </cell>
          <cell r="O87">
            <v>0</v>
          </cell>
          <cell r="P87">
            <v>9025.9980300000025</v>
          </cell>
          <cell r="R87">
            <v>29.750764769229797</v>
          </cell>
        </row>
        <row r="88">
          <cell r="M88">
            <v>22361.668519999999</v>
          </cell>
          <cell r="N88">
            <v>62.83126</v>
          </cell>
          <cell r="O88">
            <v>90.523039999999995</v>
          </cell>
          <cell r="P88">
            <v>22515.022819999998</v>
          </cell>
          <cell r="R88">
            <v>-1.0841733427939704</v>
          </cell>
        </row>
        <row r="89">
          <cell r="M89">
            <v>134781.60710999992</v>
          </cell>
          <cell r="N89">
            <v>108023.39376000001</v>
          </cell>
          <cell r="O89">
            <v>3696.5428299999999</v>
          </cell>
          <cell r="P89">
            <v>26215.923639999935</v>
          </cell>
          <cell r="R89">
            <v>-12.792812473906434</v>
          </cell>
        </row>
        <row r="90">
          <cell r="M90">
            <v>0</v>
          </cell>
          <cell r="N90">
            <v>905.87963000000013</v>
          </cell>
          <cell r="O90">
            <v>0</v>
          </cell>
          <cell r="P90">
            <v>905.87963000000013</v>
          </cell>
          <cell r="R90">
            <v>49.636034660640945</v>
          </cell>
        </row>
        <row r="91">
          <cell r="M91">
            <v>120919.05516999999</v>
          </cell>
          <cell r="N91">
            <v>99366.564889999994</v>
          </cell>
          <cell r="O91">
            <v>0</v>
          </cell>
          <cell r="P91">
            <v>0</v>
          </cell>
          <cell r="R91">
            <v>0</v>
          </cell>
        </row>
        <row r="92">
          <cell r="M92"/>
          <cell r="N92"/>
          <cell r="O92"/>
          <cell r="P92">
            <v>0</v>
          </cell>
          <cell r="R92"/>
        </row>
        <row r="93">
          <cell r="M93">
            <v>15449.503769999992</v>
          </cell>
          <cell r="N93">
            <v>3895.3061399999997</v>
          </cell>
          <cell r="O93">
            <v>5467.1172799999995</v>
          </cell>
          <cell r="P93">
            <v>22456.429729999993</v>
          </cell>
          <cell r="R93">
            <v>-25.554630685017433</v>
          </cell>
        </row>
        <row r="94">
          <cell r="M94">
            <v>5662.1177599999946</v>
          </cell>
          <cell r="N94">
            <v>278.00774999999999</v>
          </cell>
          <cell r="O94">
            <v>5218.9161699999995</v>
          </cell>
          <cell r="P94">
            <v>11159.041679999995</v>
          </cell>
          <cell r="R94">
            <v>-55.990821032846647</v>
          </cell>
        </row>
        <row r="95">
          <cell r="M95">
            <v>9787.3860099999984</v>
          </cell>
          <cell r="N95">
            <v>3617.2983899999999</v>
          </cell>
          <cell r="O95">
            <v>248.20111000000003</v>
          </cell>
          <cell r="P95">
            <v>11297.388049999998</v>
          </cell>
          <cell r="R95">
            <v>134.93106101947009</v>
          </cell>
        </row>
        <row r="96">
          <cell r="M96">
            <v>796.89015000000006</v>
          </cell>
          <cell r="N96">
            <v>0</v>
          </cell>
          <cell r="O96">
            <v>0</v>
          </cell>
          <cell r="P96">
            <v>796.89015000000006</v>
          </cell>
          <cell r="R96">
            <v>-15.266437607824891</v>
          </cell>
        </row>
        <row r="97">
          <cell r="M97">
            <v>2314.49746</v>
          </cell>
          <cell r="N97">
            <v>0</v>
          </cell>
          <cell r="O97">
            <v>41</v>
          </cell>
          <cell r="P97">
            <v>0</v>
          </cell>
          <cell r="R97">
            <v>0</v>
          </cell>
        </row>
        <row r="98"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</row>
        <row r="100">
          <cell r="M100">
            <v>345140.23177999991</v>
          </cell>
          <cell r="N100">
            <v>156851.44772</v>
          </cell>
          <cell r="O100">
            <v>117637.57469000001</v>
          </cell>
          <cell r="P100">
            <v>396979.99528999993</v>
          </cell>
          <cell r="R100">
            <v>7.2819969484812397</v>
          </cell>
        </row>
        <row r="101">
          <cell r="M101">
            <v>-18667.18116999988</v>
          </cell>
          <cell r="N101">
            <v>4686.5359399999725</v>
          </cell>
          <cell r="O101">
            <v>6787.6078100000013</v>
          </cell>
          <cell r="P101">
            <v>-7193.0374199999496</v>
          </cell>
          <cell r="R101">
            <v>-121.25744881933862</v>
          </cell>
        </row>
        <row r="103">
          <cell r="M103">
            <v>-12263.461399999971</v>
          </cell>
          <cell r="N103">
            <v>4409.2371799999382</v>
          </cell>
          <cell r="O103">
            <v>6329.8323400000081</v>
          </cell>
          <cell r="P103">
            <v>-1524.3918799999519</v>
          </cell>
          <cell r="R103">
            <v>-112.04979707769587</v>
          </cell>
        </row>
        <row r="104">
          <cell r="M104">
            <v>307329.05948999996</v>
          </cell>
          <cell r="N104">
            <v>152893.31032000002</v>
          </cell>
          <cell r="O104">
            <v>112079.93437</v>
          </cell>
          <cell r="P104">
            <v>352008.54273999995</v>
          </cell>
          <cell r="R104">
            <v>11.006115272044671</v>
          </cell>
        </row>
        <row r="105">
          <cell r="M105">
            <v>10098.207120000036</v>
          </cell>
          <cell r="N105">
            <v>4472.0684399999445</v>
          </cell>
          <cell r="O105">
            <v>6420.3553800000082</v>
          </cell>
          <cell r="P105">
            <v>20990.630940000061</v>
          </cell>
          <cell r="R105">
            <v>-40.725476921600787</v>
          </cell>
        </row>
        <row r="106">
          <cell r="M106">
            <v>-6403.7197699999924</v>
          </cell>
          <cell r="N106">
            <v>277.29875999999967</v>
          </cell>
          <cell r="O106">
            <v>457.7754700000005</v>
          </cell>
          <cell r="P106">
            <v>-5668.6455399999977</v>
          </cell>
          <cell r="R106">
            <v>-126.75535292746835</v>
          </cell>
        </row>
        <row r="107">
          <cell r="M107">
            <v>322778.56325999991</v>
          </cell>
          <cell r="N107">
            <v>156788.61645999999</v>
          </cell>
          <cell r="O107">
            <v>117547.05165000001</v>
          </cell>
          <cell r="P107">
            <v>374464.97246999992</v>
          </cell>
          <cell r="R107">
            <v>7.8303536261058904</v>
          </cell>
        </row>
        <row r="108">
          <cell r="M108">
            <v>3694.4873500001268</v>
          </cell>
          <cell r="N108">
            <v>4749.3671999999788</v>
          </cell>
          <cell r="O108">
            <v>6878.1308500000014</v>
          </cell>
          <cell r="P108">
            <v>15321.985400000063</v>
          </cell>
          <cell r="R108">
            <v>-72.929128102558778</v>
          </cell>
        </row>
      </sheetData>
      <sheetData sheetId="21"/>
      <sheetData sheetId="22">
        <row r="6">
          <cell r="D6">
            <v>2025</v>
          </cell>
          <cell r="E6">
            <v>2026</v>
          </cell>
        </row>
        <row r="8">
          <cell r="D8">
            <v>316631.57624000002</v>
          </cell>
          <cell r="E8">
            <v>317427.26660999999</v>
          </cell>
          <cell r="F8">
            <v>0.25129849001441773</v>
          </cell>
        </row>
        <row r="9">
          <cell r="D9">
            <v>240721.08604000002</v>
          </cell>
          <cell r="E9">
            <v>254453.83577000001</v>
          </cell>
          <cell r="F9">
            <v>5.7048387226526831</v>
          </cell>
        </row>
        <row r="10">
          <cell r="D10">
            <v>58341.29636</v>
          </cell>
          <cell r="E10">
            <v>60534.629080000006</v>
          </cell>
          <cell r="F10">
            <v>3.7594857448244756</v>
          </cell>
        </row>
        <row r="11">
          <cell r="D11">
            <v>182379.78968000002</v>
          </cell>
          <cell r="E11">
            <v>193919.20668999999</v>
          </cell>
          <cell r="F11">
            <v>6.3271358247790621</v>
          </cell>
        </row>
        <row r="12">
          <cell r="D12">
            <v>75910.490199999986</v>
          </cell>
          <cell r="E12">
            <v>62973.430840000001</v>
          </cell>
          <cell r="F12">
            <v>-17.042518531911664</v>
          </cell>
        </row>
        <row r="13">
          <cell r="D13">
            <v>35452.916669999999</v>
          </cell>
          <cell r="E13">
            <v>9045.7839999999997</v>
          </cell>
          <cell r="F13">
            <v>-74.485078098935432</v>
          </cell>
        </row>
        <row r="15">
          <cell r="D15">
            <v>352084.49291000003</v>
          </cell>
          <cell r="E15">
            <v>326473.05060999998</v>
          </cell>
          <cell r="F15">
            <v>-7.2742318437031717</v>
          </cell>
        </row>
        <row r="17">
          <cell r="D17">
            <v>307223.14763000014</v>
          </cell>
          <cell r="E17">
            <v>329690.72801000002</v>
          </cell>
          <cell r="F17">
            <v>7.3131144424893435</v>
          </cell>
        </row>
        <row r="18">
          <cell r="D18">
            <v>105557.30668000017</v>
          </cell>
          <cell r="E18">
            <v>113669.44981000008</v>
          </cell>
          <cell r="F18">
            <v>7.685060736337368</v>
          </cell>
        </row>
        <row r="19">
          <cell r="D19">
            <v>44531.961289999956</v>
          </cell>
          <cell r="E19">
            <v>57287.75443999999</v>
          </cell>
          <cell r="F19">
            <v>28.644130598542628</v>
          </cell>
        </row>
        <row r="20">
          <cell r="D20">
            <v>22587.187590000005</v>
          </cell>
          <cell r="E20">
            <v>22361.668519999999</v>
          </cell>
          <cell r="F20">
            <v>-0.99843802643162505</v>
          </cell>
        </row>
        <row r="21">
          <cell r="D21">
            <v>133200.86314999999</v>
          </cell>
          <cell r="E21">
            <v>134781.60710999998</v>
          </cell>
          <cell r="F21">
            <v>1.186737024534068</v>
          </cell>
        </row>
        <row r="22">
          <cell r="D22">
            <v>116607.05221999998</v>
          </cell>
          <cell r="E22">
            <v>120919.05516999999</v>
          </cell>
          <cell r="F22">
            <v>3.6978920810592619</v>
          </cell>
        </row>
        <row r="23">
          <cell r="D23">
            <v>16593.810929999992</v>
          </cell>
          <cell r="E23">
            <v>13862.551939999996</v>
          </cell>
          <cell r="F23">
            <v>-16.459504097772658</v>
          </cell>
        </row>
        <row r="24">
          <cell r="D24">
            <v>1103.2491500000001</v>
          </cell>
          <cell r="E24">
            <v>1215.9403800000002</v>
          </cell>
          <cell r="F24">
            <v>10.214486002549839</v>
          </cell>
        </row>
        <row r="25">
          <cell r="D25">
            <v>242.57977000000002</v>
          </cell>
          <cell r="E25">
            <v>374.30775000000011</v>
          </cell>
          <cell r="F25">
            <v>54.30295362222499</v>
          </cell>
        </row>
        <row r="26">
          <cell r="D26">
            <v>19722.58538</v>
          </cell>
          <cell r="E26">
            <v>15449.503769999996</v>
          </cell>
          <cell r="F26">
            <v>-21.665930341633565</v>
          </cell>
        </row>
        <row r="27">
          <cell r="D27">
            <v>12426.25351</v>
          </cell>
          <cell r="E27">
            <v>5662.1177599999946</v>
          </cell>
          <cell r="F27">
            <v>-54.434232687725078</v>
          </cell>
        </row>
        <row r="28">
          <cell r="D28">
            <v>7296.33187</v>
          </cell>
          <cell r="E28">
            <v>9787.3860100000002</v>
          </cell>
          <cell r="F28">
            <v>34.141184699154856</v>
          </cell>
        </row>
        <row r="29">
          <cell r="D29">
            <v>4325.6329500000002</v>
          </cell>
          <cell r="E29">
            <v>3111.3876100000002</v>
          </cell>
          <cell r="F29">
            <v>-28.070928671837493</v>
          </cell>
        </row>
        <row r="30">
          <cell r="D30">
            <v>2970.6989199999998</v>
          </cell>
          <cell r="E30">
            <v>6675.9984000000004</v>
          </cell>
          <cell r="F30">
            <v>124.7282063845097</v>
          </cell>
        </row>
        <row r="33">
          <cell r="D33">
            <v>326945.73301000014</v>
          </cell>
          <cell r="E33">
            <v>345140.23178000003</v>
          </cell>
          <cell r="F33">
            <v>5.5649904351078971</v>
          </cell>
        </row>
        <row r="35">
          <cell r="D35">
            <v>25138.759899999885</v>
          </cell>
          <cell r="E35">
            <v>-18667.181170000025</v>
          </cell>
          <cell r="F35">
            <v>-174.25657130366287</v>
          </cell>
        </row>
        <row r="37">
          <cell r="D37">
            <v>9408.4286099998862</v>
          </cell>
          <cell r="E37">
            <v>-12263.461400000029</v>
          </cell>
          <cell r="F37">
            <v>-230.34547965816131</v>
          </cell>
        </row>
        <row r="38">
          <cell r="D38">
            <v>15730.331289999998</v>
          </cell>
          <cell r="E38">
            <v>-6403.7197699999961</v>
          </cell>
          <cell r="F38">
            <v>-140.70937637575972</v>
          </cell>
        </row>
        <row r="39">
          <cell r="D39">
            <v>47725.94748999989</v>
          </cell>
          <cell r="E39">
            <v>3694.487349999974</v>
          </cell>
          <cell r="F39">
            <v>-92.258954417250521</v>
          </cell>
        </row>
        <row r="40">
          <cell r="D40">
            <v>608.14400000000001</v>
          </cell>
          <cell r="E40">
            <v>0</v>
          </cell>
          <cell r="F40">
            <v>-100</v>
          </cell>
        </row>
        <row r="54">
          <cell r="D54">
            <v>2025</v>
          </cell>
          <cell r="E54">
            <v>2026</v>
          </cell>
          <cell r="F54" t="str">
            <v>VH (%)</v>
          </cell>
        </row>
        <row r="56">
          <cell r="D56">
            <v>99288.550670000011</v>
          </cell>
          <cell r="E56">
            <v>97788.735239999965</v>
          </cell>
          <cell r="F56">
            <v>-1.5105623154727077</v>
          </cell>
        </row>
        <row r="57">
          <cell r="D57">
            <v>94027.947759999995</v>
          </cell>
          <cell r="E57">
            <v>93836.477679999967</v>
          </cell>
          <cell r="F57">
            <v>-0.2036310315830181</v>
          </cell>
        </row>
        <row r="58">
          <cell r="D58">
            <v>28481.152429999998</v>
          </cell>
          <cell r="E58">
            <v>25946.890330000006</v>
          </cell>
          <cell r="F58">
            <v>-8.8980321503092767</v>
          </cell>
        </row>
        <row r="59">
          <cell r="D59">
            <v>65546.795329999994</v>
          </cell>
          <cell r="E59">
            <v>67889.587349999958</v>
          </cell>
          <cell r="F59">
            <v>3.5742281650918528</v>
          </cell>
        </row>
        <row r="60">
          <cell r="D60">
            <v>5260.6029100000078</v>
          </cell>
          <cell r="E60">
            <v>3952.257559999995</v>
          </cell>
          <cell r="F60">
            <v>-24.870635027649534</v>
          </cell>
        </row>
        <row r="61">
          <cell r="D61">
            <v>2310.8202100000003</v>
          </cell>
          <cell r="E61">
            <v>2936.2948699999997</v>
          </cell>
          <cell r="F61">
            <v>27.067214372337478</v>
          </cell>
        </row>
        <row r="63">
          <cell r="D63">
            <v>101599.37088000002</v>
          </cell>
          <cell r="E63">
            <v>100725.03010999996</v>
          </cell>
          <cell r="F63">
            <v>-0.8605769528167162</v>
          </cell>
        </row>
        <row r="65">
          <cell r="D65">
            <v>116987.86738999998</v>
          </cell>
          <cell r="E65">
            <v>128703.08717000009</v>
          </cell>
          <cell r="F65">
            <v>10.014046790805509</v>
          </cell>
        </row>
        <row r="66">
          <cell r="D66">
            <v>42728.131620000167</v>
          </cell>
          <cell r="E66">
            <v>46669.960810000091</v>
          </cell>
          <cell r="F66">
            <v>9.2253722326459897</v>
          </cell>
        </row>
        <row r="67">
          <cell r="D67">
            <v>7470.4034499999661</v>
          </cell>
          <cell r="E67">
            <v>9611.3950699999932</v>
          </cell>
          <cell r="F67">
            <v>28.659651842499034</v>
          </cell>
        </row>
        <row r="68">
          <cell r="D68">
            <v>3722.6906900000013</v>
          </cell>
          <cell r="E68">
            <v>3516.236969999999</v>
          </cell>
          <cell r="F68">
            <v>-5.545819870412128</v>
          </cell>
        </row>
        <row r="69">
          <cell r="D69">
            <v>61858.296719999853</v>
          </cell>
          <cell r="E69">
            <v>68678.683739999993</v>
          </cell>
          <cell r="F69">
            <v>11.025824152372742</v>
          </cell>
        </row>
        <row r="70">
          <cell r="D70">
            <v>1082.3677000000002</v>
          </cell>
          <cell r="E70">
            <v>15.005800000000047</v>
          </cell>
          <cell r="F70">
            <v>-98.613613469803283</v>
          </cell>
        </row>
        <row r="71">
          <cell r="D71">
            <v>125.97721</v>
          </cell>
          <cell r="E71">
            <v>211.80478000000014</v>
          </cell>
          <cell r="F71">
            <v>68.129441825231837</v>
          </cell>
        </row>
        <row r="72">
          <cell r="D72">
            <v>11079.494120000001</v>
          </cell>
          <cell r="E72">
            <v>8648.7610099999911</v>
          </cell>
          <cell r="F72">
            <v>-21.939026129471063</v>
          </cell>
        </row>
        <row r="73">
          <cell r="D73">
            <v>7190.2125500000011</v>
          </cell>
          <cell r="E73">
            <v>4312.7389599999942</v>
          </cell>
          <cell r="F73">
            <v>-40.019311946487676</v>
          </cell>
        </row>
        <row r="74">
          <cell r="D74">
            <v>3889.2815699999996</v>
          </cell>
          <cell r="E74">
            <v>4336.0220499999969</v>
          </cell>
          <cell r="F74">
            <v>11.486452496675303</v>
          </cell>
        </row>
        <row r="79">
          <cell r="D79">
            <v>128067.36150999999</v>
          </cell>
          <cell r="E79">
            <v>137351.84818000009</v>
          </cell>
          <cell r="F79">
            <v>7.2496899760639888</v>
          </cell>
        </row>
        <row r="81">
          <cell r="D81">
            <v>-26467.990629999971</v>
          </cell>
          <cell r="E81">
            <v>-36626.818070000125</v>
          </cell>
          <cell r="F81">
            <v>-38.381559000877452</v>
          </cell>
        </row>
        <row r="83">
          <cell r="D83">
            <v>-17699.316719999973</v>
          </cell>
          <cell r="E83">
            <v>-30914.351930000121</v>
          </cell>
          <cell r="F83">
            <v>-74.66409816299489</v>
          </cell>
        </row>
        <row r="84">
          <cell r="D84">
            <v>-8768.6739100000013</v>
          </cell>
          <cell r="E84">
            <v>-5712.4661399999914</v>
          </cell>
          <cell r="F84">
            <v>34.853705376301413</v>
          </cell>
        </row>
        <row r="85">
          <cell r="D85">
            <v>-22745.299939999968</v>
          </cell>
          <cell r="E85">
            <v>-33110.581100000127</v>
          </cell>
          <cell r="F85">
            <v>-45.571090235533603</v>
          </cell>
        </row>
      </sheetData>
      <sheetData sheetId="23">
        <row r="165">
          <cell r="E165">
            <v>2025</v>
          </cell>
          <cell r="F165">
            <v>2026</v>
          </cell>
        </row>
        <row r="167">
          <cell r="E167">
            <v>240721.08604000002</v>
          </cell>
          <cell r="F167">
            <v>254453.83577000001</v>
          </cell>
          <cell r="G167">
            <v>5.7048387226526831E-2</v>
          </cell>
          <cell r="H167">
            <v>0.18900410395891129</v>
          </cell>
        </row>
        <row r="169">
          <cell r="E169">
            <v>58341.29636</v>
          </cell>
          <cell r="F169">
            <v>60534.629080000006</v>
          </cell>
          <cell r="G169">
            <v>3.7594857448244756E-2</v>
          </cell>
          <cell r="H169">
            <v>0.12449098526224386</v>
          </cell>
        </row>
        <row r="170">
          <cell r="E170">
            <v>52666.920389999999</v>
          </cell>
          <cell r="F170">
            <v>52265.89834</v>
          </cell>
          <cell r="G170">
            <v>-7.6143060393586426E-3</v>
          </cell>
          <cell r="H170">
            <v>0.19525805896741341</v>
          </cell>
        </row>
        <row r="171">
          <cell r="E171">
            <v>5674.3759700000001</v>
          </cell>
          <cell r="F171">
            <v>8268.7307400000009</v>
          </cell>
          <cell r="G171">
            <v>0.45720530040944762</v>
          </cell>
          <cell r="H171">
            <v>3.7829117243329324E-2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E173">
            <v>182379.78968000002</v>
          </cell>
          <cell r="F173">
            <v>193919.20668999999</v>
          </cell>
          <cell r="G173">
            <v>6.3271358247790621E-2</v>
          </cell>
          <cell r="H173">
            <v>0.22547952403426505</v>
          </cell>
        </row>
        <row r="174">
          <cell r="E174">
            <v>7162.0215900000003</v>
          </cell>
          <cell r="F174">
            <v>10446.91438</v>
          </cell>
          <cell r="G174">
            <v>0.45865441045116984</v>
          </cell>
          <cell r="H174">
            <v>0.16715063008</v>
          </cell>
        </row>
        <row r="175">
          <cell r="E175">
            <v>150227.23803000001</v>
          </cell>
          <cell r="F175">
            <v>160381.36464999997</v>
          </cell>
          <cell r="G175">
            <v>6.7591781311803212E-2</v>
          </cell>
          <cell r="H175">
            <v>0.24702749293410034</v>
          </cell>
        </row>
        <row r="176">
          <cell r="E176">
            <v>1322.4247800000001</v>
          </cell>
          <cell r="F176">
            <v>801.89543999999989</v>
          </cell>
          <cell r="G176">
            <v>-0.39361735190715352</v>
          </cell>
          <cell r="H176">
            <v>0.10870210654737697</v>
          </cell>
        </row>
        <row r="177">
          <cell r="E177">
            <v>7845.9528499999997</v>
          </cell>
          <cell r="F177">
            <v>5787.1792999999998</v>
          </cell>
          <cell r="G177">
            <v>-0.2623994292802817</v>
          </cell>
          <cell r="H177">
            <v>0.11103394146979249</v>
          </cell>
        </row>
        <row r="178">
          <cell r="E178">
            <v>2150.88429</v>
          </cell>
          <cell r="F178">
            <v>1697.7667299999998</v>
          </cell>
          <cell r="G178">
            <v>-0.2106657071729322</v>
          </cell>
          <cell r="H178">
            <v>0.14239588156000102</v>
          </cell>
        </row>
        <row r="179">
          <cell r="E179">
            <v>13671.26814</v>
          </cell>
          <cell r="F179">
            <v>14804.08619</v>
          </cell>
          <cell r="G179">
            <v>8.2861226800573951E-2</v>
          </cell>
          <cell r="H179">
            <v>0.19259965490984718</v>
          </cell>
        </row>
        <row r="180">
          <cell r="E180">
            <v>7800.8374799999992</v>
          </cell>
          <cell r="F180">
            <v>7365.4061499999998</v>
          </cell>
          <cell r="G180">
            <v>-5.5818536293874899E-2</v>
          </cell>
          <cell r="H180">
            <v>0.16767721582384959</v>
          </cell>
        </row>
        <row r="181">
          <cell r="E181">
            <v>1499.3128599999998</v>
          </cell>
          <cell r="F181">
            <v>1679.8377800000001</v>
          </cell>
          <cell r="G181">
            <v>0.12040510344185296</v>
          </cell>
          <cell r="H181">
            <v>0.16639965330057852</v>
          </cell>
        </row>
        <row r="183">
          <cell r="E183">
            <v>111363.40686999998</v>
          </cell>
          <cell r="F183">
            <v>72019.214840000001</v>
          </cell>
          <cell r="G183">
            <v>-0.35329551363248435</v>
          </cell>
          <cell r="H183">
            <v>0.11201182254283314</v>
          </cell>
        </row>
        <row r="185">
          <cell r="E185">
            <v>352084.49291000003</v>
          </cell>
          <cell r="F185">
            <v>326473.05061000003</v>
          </cell>
          <cell r="G185">
            <v>-7.2742318437031495E-2</v>
          </cell>
          <cell r="H185">
            <v>0.16411881228443514</v>
          </cell>
        </row>
        <row r="197">
          <cell r="E197">
            <v>2025</v>
          </cell>
          <cell r="F197">
            <v>2026</v>
          </cell>
        </row>
        <row r="199">
          <cell r="E199">
            <v>240721.08604000002</v>
          </cell>
          <cell r="F199">
            <v>254453.83577000001</v>
          </cell>
          <cell r="G199">
            <v>5.7048387226526831E-2</v>
          </cell>
          <cell r="H199">
            <v>0.18900410395891129</v>
          </cell>
        </row>
        <row r="201">
          <cell r="E201">
            <v>111363.40686999998</v>
          </cell>
          <cell r="F201">
            <v>72019.214840000001</v>
          </cell>
          <cell r="G201">
            <v>-0.35329551363248435</v>
          </cell>
          <cell r="H201">
            <v>0.11201182254283314</v>
          </cell>
        </row>
        <row r="202">
          <cell r="E202">
            <v>75910.490199999986</v>
          </cell>
          <cell r="F202">
            <v>62973.430840000001</v>
          </cell>
          <cell r="G202">
            <v>-0.17042518531911666</v>
          </cell>
          <cell r="H202">
            <v>0.15290818779755361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E204">
            <v>9190.5901199999989</v>
          </cell>
          <cell r="F204">
            <v>4798.4924999999994</v>
          </cell>
          <cell r="G204">
            <v>-0.47789070806695921</v>
          </cell>
          <cell r="H204">
            <v>9.9599552508069455E-2</v>
          </cell>
        </row>
        <row r="205">
          <cell r="E205">
            <v>312.80684000000002</v>
          </cell>
          <cell r="F205">
            <v>311.08877000000001</v>
          </cell>
          <cell r="G205">
            <v>-5.4924310478633442E-3</v>
          </cell>
          <cell r="H205">
            <v>5.1018850924128903E-2</v>
          </cell>
        </row>
        <row r="206">
          <cell r="E206">
            <v>62821.141929999998</v>
          </cell>
          <cell r="F206">
            <v>54311.77448</v>
          </cell>
          <cell r="G206">
            <v>-0.13545388047039597</v>
          </cell>
          <cell r="H206">
            <v>0.16045667568158906</v>
          </cell>
        </row>
        <row r="207">
          <cell r="E207">
            <v>3046.2222199999997</v>
          </cell>
          <cell r="F207">
            <v>3029.6877400000003</v>
          </cell>
          <cell r="G207">
            <v>-5.4278640249690868E-3</v>
          </cell>
          <cell r="H207">
            <v>0.18312603948338385</v>
          </cell>
        </row>
        <row r="208">
          <cell r="E208">
            <v>539.72909000000004</v>
          </cell>
          <cell r="F208">
            <v>522.38734999999997</v>
          </cell>
          <cell r="G208">
            <v>-3.213045270544912E-2</v>
          </cell>
          <cell r="H208">
            <v>0.20598488513816973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1">
          <cell r="E211">
            <v>35452.916669999999</v>
          </cell>
          <cell r="F211">
            <v>9045.7839999999997</v>
          </cell>
          <cell r="G211">
            <v>-0.74485078098935431</v>
          </cell>
          <cell r="H211">
            <v>3.9138457946096467E-2</v>
          </cell>
        </row>
        <row r="212">
          <cell r="E212">
            <v>19.8948</v>
          </cell>
          <cell r="F212">
            <v>365.03</v>
          </cell>
          <cell r="G212">
            <v>17.348010535416289</v>
          </cell>
          <cell r="H212">
            <v>3.9954794591769434E-2</v>
          </cell>
        </row>
        <row r="213">
          <cell r="E213">
            <v>33933.603470000002</v>
          </cell>
          <cell r="F213">
            <v>6319.8085499999988</v>
          </cell>
          <cell r="G213">
            <v>-0.81375958036442519</v>
          </cell>
          <cell r="H213">
            <v>2.9015038564404048E-2</v>
          </cell>
        </row>
        <row r="214">
          <cell r="E214">
            <v>3.1110000000000002</v>
          </cell>
          <cell r="F214">
            <v>0.32080999999999998</v>
          </cell>
          <cell r="G214">
            <v>-0.89687881710061079</v>
          </cell>
          <cell r="H214">
            <v>1.4339158807491171E-2</v>
          </cell>
        </row>
        <row r="216">
          <cell r="E216">
            <v>1496.3073999999999</v>
          </cell>
          <cell r="F216">
            <v>2360.62464</v>
          </cell>
          <cell r="G216">
            <v>0.57763347290804035</v>
          </cell>
          <cell r="H216">
            <v>0.56845304893157911</v>
          </cell>
        </row>
        <row r="218">
          <cell r="E218">
            <v>352084.49291000003</v>
          </cell>
          <cell r="F218">
            <v>326473.05061000003</v>
          </cell>
          <cell r="G218">
            <v>-7.2742318437031495E-2</v>
          </cell>
          <cell r="H218">
            <v>0.16411881228443514</v>
          </cell>
        </row>
      </sheetData>
      <sheetData sheetId="24">
        <row r="6">
          <cell r="F6">
            <v>2025</v>
          </cell>
          <cell r="H6">
            <v>2026</v>
          </cell>
          <cell r="I6">
            <v>2025</v>
          </cell>
          <cell r="J6">
            <v>2026</v>
          </cell>
        </row>
        <row r="8">
          <cell r="F8">
            <v>307223.14763000014</v>
          </cell>
          <cell r="H8">
            <v>329690.72801000002</v>
          </cell>
          <cell r="I8">
            <v>19.112228372189087</v>
          </cell>
          <cell r="J8">
            <v>18.950366220752105</v>
          </cell>
          <cell r="L8">
            <v>7.3131144424893391</v>
          </cell>
        </row>
        <row r="9">
          <cell r="F9">
            <v>105557.30668000017</v>
          </cell>
          <cell r="H9">
            <v>113669.44981000008</v>
          </cell>
          <cell r="I9">
            <v>21.672128355506644</v>
          </cell>
          <cell r="J9">
            <v>21.275734200372785</v>
          </cell>
          <cell r="L9">
            <v>7.6850607363373626</v>
          </cell>
        </row>
        <row r="10">
          <cell r="F10">
            <v>83102.414619999981</v>
          </cell>
          <cell r="H10">
            <v>86403.021180000054</v>
          </cell>
          <cell r="I10">
            <v>21.803728491909304</v>
          </cell>
          <cell r="J10">
            <v>20.60662091237786</v>
          </cell>
          <cell r="L10">
            <v>3.9717336434719273</v>
          </cell>
        </row>
        <row r="11">
          <cell r="F11">
            <v>9248.7282300000024</v>
          </cell>
          <cell r="H11">
            <v>9580.0019200000061</v>
          </cell>
          <cell r="I11">
            <v>62.996640012358597</v>
          </cell>
          <cell r="J11">
            <v>59.472498413704933</v>
          </cell>
          <cell r="L11">
            <v>3.5818296501075104</v>
          </cell>
        </row>
        <row r="12">
          <cell r="F12">
            <v>13206.163829999992</v>
          </cell>
          <cell r="H12">
            <v>17686.426710000007</v>
          </cell>
          <cell r="I12">
            <v>14.473311357538657</v>
          </cell>
          <cell r="J12">
            <v>17.889946136336739</v>
          </cell>
          <cell r="L12">
            <v>33.925543690608734</v>
          </cell>
        </row>
        <row r="13">
          <cell r="F13">
            <v>44531.961289999956</v>
          </cell>
          <cell r="H13">
            <v>57287.75443999999</v>
          </cell>
          <cell r="I13">
            <v>19.994304451390555</v>
          </cell>
          <cell r="J13">
            <v>24.328561726067715</v>
          </cell>
          <cell r="L13">
            <v>28.64413059854262</v>
          </cell>
        </row>
        <row r="14">
          <cell r="F14">
            <v>22587.187590000005</v>
          </cell>
          <cell r="H14">
            <v>22361.668519999999</v>
          </cell>
          <cell r="I14">
            <v>16.491724504288229</v>
          </cell>
          <cell r="J14">
            <v>17.169249619268047</v>
          </cell>
          <cell r="L14">
            <v>-0.99843802643162838</v>
          </cell>
        </row>
        <row r="15">
          <cell r="F15">
            <v>133200.86314999999</v>
          </cell>
          <cell r="H15">
            <v>134781.60710999998</v>
          </cell>
          <cell r="I15">
            <v>17.933398824371</v>
          </cell>
          <cell r="J15">
            <v>16.401871252064076</v>
          </cell>
          <cell r="L15">
            <v>1.186737024534058</v>
          </cell>
        </row>
        <row r="16">
          <cell r="F16">
            <v>116607.05221999998</v>
          </cell>
          <cell r="H16">
            <v>120919.05516999999</v>
          </cell>
          <cell r="I16">
            <v>18.571512612337994</v>
          </cell>
          <cell r="J16">
            <v>17.597807630472794</v>
          </cell>
          <cell r="L16">
            <v>3.6978920810592544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</row>
        <row r="18">
          <cell r="F18">
            <v>116607.05221999998</v>
          </cell>
          <cell r="H18">
            <v>120919.05516999999</v>
          </cell>
          <cell r="I18">
            <v>18.589495695043972</v>
          </cell>
          <cell r="J18">
            <v>17.626759996065815</v>
          </cell>
          <cell r="L18">
            <v>3.6978920810592544</v>
          </cell>
        </row>
        <row r="19"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 t="str">
            <v>-</v>
          </cell>
        </row>
        <row r="20"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 t="str">
            <v>-</v>
          </cell>
        </row>
        <row r="21">
          <cell r="F21">
            <v>16593.810929999992</v>
          </cell>
          <cell r="H21">
            <v>13862.551939999996</v>
          </cell>
          <cell r="I21">
            <v>14.445511447967563</v>
          </cell>
          <cell r="J21">
            <v>10.297571200371841</v>
          </cell>
          <cell r="L21">
            <v>-16.459504097772662</v>
          </cell>
        </row>
        <row r="27">
          <cell r="F27">
            <v>1103.2491500000001</v>
          </cell>
          <cell r="H27">
            <v>1215.9403800000002</v>
          </cell>
          <cell r="I27">
            <v>9.710411241183829</v>
          </cell>
          <cell r="J27">
            <v>10.271420213422873</v>
          </cell>
          <cell r="L27">
            <v>10.214486002549842</v>
          </cell>
        </row>
        <row r="28">
          <cell r="F28">
            <v>242.57977000000002</v>
          </cell>
          <cell r="H28">
            <v>374.30775000000011</v>
          </cell>
          <cell r="I28">
            <v>3.6722756549753122</v>
          </cell>
          <cell r="J28">
            <v>6.0471341975564155</v>
          </cell>
          <cell r="L28">
            <v>54.302953622225004</v>
          </cell>
        </row>
        <row r="30">
          <cell r="F30">
            <v>284635.96004000015</v>
          </cell>
          <cell r="H30">
            <v>307329.05949000001</v>
          </cell>
          <cell r="I30">
            <v>19.356297821675163</v>
          </cell>
          <cell r="J30">
            <v>19.094494693707372</v>
          </cell>
          <cell r="L30">
            <v>7.9726747972430401</v>
          </cell>
        </row>
        <row r="32">
          <cell r="F32">
            <v>19722.58538</v>
          </cell>
          <cell r="H32">
            <v>15449.503769999996</v>
          </cell>
          <cell r="I32">
            <v>5.8386714318387352</v>
          </cell>
          <cell r="J32">
            <v>4.1250916550712482</v>
          </cell>
          <cell r="L32">
            <v>-21.665930341633562</v>
          </cell>
        </row>
        <row r="33">
          <cell r="F33">
            <v>12426.25351</v>
          </cell>
          <cell r="H33">
            <v>5662.1177599999946</v>
          </cell>
          <cell r="I33">
            <v>6.9364370072029571</v>
          </cell>
          <cell r="J33">
            <v>2.8454709627888457</v>
          </cell>
          <cell r="L33">
            <v>-54.434232687725078</v>
          </cell>
        </row>
        <row r="34">
          <cell r="F34">
            <v>7296.33187</v>
          </cell>
          <cell r="H34">
            <v>9787.3860100000002</v>
          </cell>
          <cell r="I34">
            <v>4.6577960477589286</v>
          </cell>
          <cell r="J34">
            <v>5.5849397400095393</v>
          </cell>
          <cell r="L34">
            <v>34.14118469915487</v>
          </cell>
        </row>
        <row r="35">
          <cell r="F35">
            <v>4325.6329500000002</v>
          </cell>
          <cell r="H35">
            <v>3111.3876100000002</v>
          </cell>
          <cell r="I35">
            <v>4.084860257311373</v>
          </cell>
          <cell r="J35">
            <v>3.1473165256817204</v>
          </cell>
          <cell r="L35">
            <v>-28.070928671837493</v>
          </cell>
        </row>
        <row r="36">
          <cell r="F36">
            <v>940.46577000000002</v>
          </cell>
          <cell r="H36">
            <v>796.89015000000006</v>
          </cell>
          <cell r="I36">
            <v>8.5821723404905743</v>
          </cell>
          <cell r="J36">
            <v>8.1200290445688026</v>
          </cell>
          <cell r="L36">
            <v>-15.266437607824892</v>
          </cell>
        </row>
        <row r="37">
          <cell r="F37">
            <v>3385.1671800000004</v>
          </cell>
          <cell r="H37">
            <v>2314.49746</v>
          </cell>
          <cell r="I37">
            <v>3.9607790847963265</v>
          </cell>
          <cell r="J37">
            <v>2.6912963322957051</v>
          </cell>
          <cell r="L37">
            <v>-31.62826717468058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 t="str">
            <v>-</v>
          </cell>
        </row>
        <row r="46"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</row>
        <row r="48">
          <cell r="F48">
            <v>326945.73301000014</v>
          </cell>
          <cell r="H48">
            <v>345140.23178000003</v>
          </cell>
          <cell r="I48">
            <v>16.807290804475333</v>
          </cell>
          <cell r="J48">
            <v>16.324211526864424</v>
          </cell>
          <cell r="L48">
            <v>5.5649904351078909</v>
          </cell>
        </row>
        <row r="51">
          <cell r="F51">
            <v>608.14400000000001</v>
          </cell>
          <cell r="H51">
            <v>0</v>
          </cell>
          <cell r="I51">
            <v>3.0833993343969555</v>
          </cell>
          <cell r="J51">
            <v>0</v>
          </cell>
          <cell r="L51">
            <v>-100</v>
          </cell>
        </row>
        <row r="52">
          <cell r="F52">
            <v>52859.12775</v>
          </cell>
          <cell r="H52">
            <v>47617.826910000003</v>
          </cell>
          <cell r="I52">
            <v>11.398081702245815</v>
          </cell>
          <cell r="J52">
            <v>20.297418539453613</v>
          </cell>
          <cell r="L52">
            <v>-9.9156022111999302</v>
          </cell>
        </row>
      </sheetData>
      <sheetData sheetId="25">
        <row r="6">
          <cell r="D6">
            <v>2025</v>
          </cell>
          <cell r="E6">
            <v>2026</v>
          </cell>
        </row>
        <row r="8">
          <cell r="D8">
            <v>46206.396189999992</v>
          </cell>
          <cell r="E8">
            <v>54433.499490000009</v>
          </cell>
          <cell r="F8">
            <v>15.771415348847858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3018.6628300000002</v>
          </cell>
          <cell r="E10">
            <v>2366.9649900000009</v>
          </cell>
          <cell r="F10">
            <v>0.68579805309650366</v>
          </cell>
        </row>
        <row r="11">
          <cell r="D11">
            <v>55466.603409999967</v>
          </cell>
          <cell r="E11">
            <v>65431.825009999986</v>
          </cell>
          <cell r="F11">
            <v>18.958040525309624</v>
          </cell>
        </row>
        <row r="12">
          <cell r="D12">
            <v>5269.9807800000008</v>
          </cell>
          <cell r="E12">
            <v>158.69497999999999</v>
          </cell>
          <cell r="F12">
            <v>4.597985554496458E-2</v>
          </cell>
        </row>
        <row r="13">
          <cell r="D13">
            <v>8945.0418699999991</v>
          </cell>
          <cell r="E13">
            <v>5515.7669299999998</v>
          </cell>
          <cell r="F13">
            <v>1.5981234356694383</v>
          </cell>
        </row>
        <row r="14">
          <cell r="D14">
            <v>96524.532119999989</v>
          </cell>
          <cell r="E14">
            <v>95267.337759999995</v>
          </cell>
          <cell r="F14">
            <v>27.602501530660579</v>
          </cell>
        </row>
        <row r="15">
          <cell r="D15">
            <v>6753.6738699999969</v>
          </cell>
          <cell r="E15">
            <v>6483.1709600000013</v>
          </cell>
          <cell r="F15">
            <v>1.8784164704775754</v>
          </cell>
        </row>
        <row r="16">
          <cell r="D16">
            <v>99501.670559999984</v>
          </cell>
          <cell r="E16">
            <v>105516.52212000013</v>
          </cell>
          <cell r="F16">
            <v>30.572072567668279</v>
          </cell>
        </row>
        <row r="17">
          <cell r="D17">
            <v>5259.1713800000007</v>
          </cell>
          <cell r="E17">
            <v>9966.4495400000014</v>
          </cell>
          <cell r="F17">
            <v>2.8876522127251838</v>
          </cell>
        </row>
        <row r="19">
          <cell r="D19">
            <v>326945.73300999997</v>
          </cell>
          <cell r="E19">
            <v>345140.23178000009</v>
          </cell>
          <cell r="F19">
            <v>100</v>
          </cell>
        </row>
        <row r="22">
          <cell r="D22">
            <v>608.14400000000001</v>
          </cell>
          <cell r="E22">
            <v>0</v>
          </cell>
          <cell r="F22">
            <v>0</v>
          </cell>
        </row>
        <row r="23">
          <cell r="D23">
            <v>52859.12775</v>
          </cell>
          <cell r="E23">
            <v>47617.826910000003</v>
          </cell>
          <cell r="F23">
            <v>13.796660755664277</v>
          </cell>
        </row>
      </sheetData>
      <sheetData sheetId="26">
        <row r="9">
          <cell r="D9">
            <v>3340</v>
          </cell>
          <cell r="E9">
            <v>543.82567000000006</v>
          </cell>
          <cell r="F9">
            <v>8068.9640699999982</v>
          </cell>
          <cell r="G9">
            <v>110263.63855000005</v>
          </cell>
          <cell r="H9">
            <v>4284.0299800000003</v>
          </cell>
          <cell r="I9">
            <v>94798.87801</v>
          </cell>
          <cell r="J9">
            <v>50409.435740000015</v>
          </cell>
          <cell r="K9">
            <v>6913.0687699999999</v>
          </cell>
          <cell r="L9">
            <v>5726.412620000001</v>
          </cell>
          <cell r="M9">
            <v>45342.474600000001</v>
          </cell>
          <cell r="N9">
            <v>329690.72801000002</v>
          </cell>
        </row>
        <row r="10">
          <cell r="D10">
            <v>0</v>
          </cell>
          <cell r="E10">
            <v>413.18676000000005</v>
          </cell>
          <cell r="F10">
            <v>4456.8792699999985</v>
          </cell>
          <cell r="G10">
            <v>87390.033940000038</v>
          </cell>
          <cell r="H10">
            <v>1004.5106000000002</v>
          </cell>
          <cell r="I10">
            <v>1371.8192199999999</v>
          </cell>
          <cell r="J10">
            <v>7895.266290000005</v>
          </cell>
          <cell r="K10">
            <v>5484.4929099999999</v>
          </cell>
          <cell r="L10">
            <v>1911.6289600000007</v>
          </cell>
          <cell r="M10">
            <v>3741.6318600000004</v>
          </cell>
          <cell r="N10">
            <v>113669.44981000003</v>
          </cell>
        </row>
        <row r="11">
          <cell r="D11">
            <v>0</v>
          </cell>
          <cell r="E11">
            <v>324.10710000000006</v>
          </cell>
          <cell r="F11">
            <v>3516.7750199999987</v>
          </cell>
          <cell r="G11">
            <v>66190.49595000004</v>
          </cell>
          <cell r="H11">
            <v>820.86586000000011</v>
          </cell>
          <cell r="I11">
            <v>1099.1326199999999</v>
          </cell>
          <cell r="J11">
            <v>5827.2020400000047</v>
          </cell>
          <cell r="K11">
            <v>4211.6643199999999</v>
          </cell>
          <cell r="L11">
            <v>1530.7941200000007</v>
          </cell>
          <cell r="M11">
            <v>2881.9841500000007</v>
          </cell>
          <cell r="N11">
            <v>86403.021180000054</v>
          </cell>
        </row>
        <row r="12">
          <cell r="D12">
            <v>0</v>
          </cell>
          <cell r="E12">
            <v>23.083579999999998</v>
          </cell>
          <cell r="F12">
            <v>408.06739000000005</v>
          </cell>
          <cell r="G12">
            <v>6739.2283599999992</v>
          </cell>
          <cell r="H12">
            <v>61.585949999999997</v>
          </cell>
          <cell r="I12">
            <v>89.572259999999986</v>
          </cell>
          <cell r="J12">
            <v>1087.9577200000001</v>
          </cell>
          <cell r="K12">
            <v>621.4550999999999</v>
          </cell>
          <cell r="L12">
            <v>157.03586000000001</v>
          </cell>
          <cell r="M12">
            <v>392.01569999999998</v>
          </cell>
          <cell r="N12">
            <v>9580.001919999997</v>
          </cell>
        </row>
        <row r="13">
          <cell r="D13">
            <v>0</v>
          </cell>
          <cell r="E13">
            <v>65.996080000000006</v>
          </cell>
          <cell r="F13">
            <v>532.03685999999993</v>
          </cell>
          <cell r="G13">
            <v>14460.309630000009</v>
          </cell>
          <cell r="H13">
            <v>122.05879</v>
          </cell>
          <cell r="I13">
            <v>183.11433999999997</v>
          </cell>
          <cell r="J13">
            <v>980.10652999999968</v>
          </cell>
          <cell r="K13">
            <v>651.37348999999995</v>
          </cell>
          <cell r="L13">
            <v>223.79898</v>
          </cell>
          <cell r="M13">
            <v>467.63201000000004</v>
          </cell>
          <cell r="N13">
            <v>17686.426710000007</v>
          </cell>
        </row>
        <row r="14">
          <cell r="D14">
            <v>0</v>
          </cell>
          <cell r="E14">
            <v>124.62400999999997</v>
          </cell>
          <cell r="F14">
            <v>945.48290999999983</v>
          </cell>
          <cell r="G14">
            <v>3739.6645200000021</v>
          </cell>
          <cell r="H14">
            <v>191.51909000000001</v>
          </cell>
          <cell r="I14">
            <v>40.268360000000001</v>
          </cell>
          <cell r="J14">
            <v>18156.612520000013</v>
          </cell>
          <cell r="K14">
            <v>495.39946999999972</v>
          </cell>
          <cell r="L14">
            <v>78.891829999999999</v>
          </cell>
          <cell r="M14">
            <v>33515.291729999997</v>
          </cell>
          <cell r="N14">
            <v>57287.754440000019</v>
          </cell>
        </row>
        <row r="15">
          <cell r="D15">
            <v>0</v>
          </cell>
          <cell r="E15">
            <v>18.334769999999999</v>
          </cell>
          <cell r="F15">
            <v>49.672569999999993</v>
          </cell>
          <cell r="G15">
            <v>2090.8767400000011</v>
          </cell>
          <cell r="H15">
            <v>3.5990000000000002</v>
          </cell>
          <cell r="I15">
            <v>5.5875900000000005</v>
          </cell>
          <cell r="J15">
            <v>75.283750000000026</v>
          </cell>
          <cell r="K15">
            <v>80.022099999999995</v>
          </cell>
          <cell r="L15">
            <v>2.8357200000000002</v>
          </cell>
          <cell r="M15">
            <v>105.81807000000002</v>
          </cell>
          <cell r="N15">
            <v>2432.0303100000015</v>
          </cell>
        </row>
        <row r="16">
          <cell r="D16">
            <v>0</v>
          </cell>
          <cell r="E16">
            <v>106.28923999999998</v>
          </cell>
          <cell r="F16">
            <v>895.81033999999988</v>
          </cell>
          <cell r="G16">
            <v>1648.7877800000012</v>
          </cell>
          <cell r="H16">
            <v>187.92009000000002</v>
          </cell>
          <cell r="I16">
            <v>34.680770000000003</v>
          </cell>
          <cell r="J16">
            <v>18081.328770000015</v>
          </cell>
          <cell r="K16">
            <v>415.37736999999976</v>
          </cell>
          <cell r="L16">
            <v>76.056110000000004</v>
          </cell>
          <cell r="M16">
            <v>33409.473659999996</v>
          </cell>
          <cell r="N16">
            <v>54855.72413000001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6.9498699999999989</v>
          </cell>
          <cell r="H17">
            <v>0</v>
          </cell>
          <cell r="I17">
            <v>0</v>
          </cell>
          <cell r="J17">
            <v>22354.718650000003</v>
          </cell>
          <cell r="K17">
            <v>0</v>
          </cell>
          <cell r="L17">
            <v>0</v>
          </cell>
          <cell r="M17">
            <v>0</v>
          </cell>
          <cell r="N17">
            <v>22361.668520000003</v>
          </cell>
        </row>
        <row r="18">
          <cell r="D18">
            <v>3340</v>
          </cell>
          <cell r="E18">
            <v>6.0148999999999999</v>
          </cell>
          <cell r="F18">
            <v>2660.0391300000001</v>
          </cell>
          <cell r="G18">
            <v>19115.146499999999</v>
          </cell>
          <cell r="H18">
            <v>3087.8402900000001</v>
          </cell>
          <cell r="I18">
            <v>93386.740429999991</v>
          </cell>
          <cell r="J18">
            <v>1792.3601699999999</v>
          </cell>
          <cell r="K18">
            <v>778.6301400000001</v>
          </cell>
          <cell r="L18">
            <v>3735.8918300000005</v>
          </cell>
          <cell r="M18">
            <v>6878.9437199999993</v>
          </cell>
          <cell r="N18">
            <v>134781.60710999998</v>
          </cell>
        </row>
        <row r="19">
          <cell r="D19">
            <v>3340</v>
          </cell>
          <cell r="E19">
            <v>0</v>
          </cell>
          <cell r="F19">
            <v>2199.9066499999999</v>
          </cell>
          <cell r="G19">
            <v>6417.9183299999986</v>
          </cell>
          <cell r="H19">
            <v>3040.9832999999999</v>
          </cell>
          <cell r="I19">
            <v>93377.602609999987</v>
          </cell>
          <cell r="J19">
            <v>1744.8457699999999</v>
          </cell>
          <cell r="K19">
            <v>770.3140800000001</v>
          </cell>
          <cell r="L19">
            <v>3159.7210800000003</v>
          </cell>
          <cell r="M19">
            <v>6867.7633499999993</v>
          </cell>
          <cell r="N19">
            <v>120919.05516999998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D21">
            <v>3340</v>
          </cell>
          <cell r="E21">
            <v>0</v>
          </cell>
          <cell r="F21">
            <v>2199.9066499999999</v>
          </cell>
          <cell r="G21">
            <v>6417.9183299999986</v>
          </cell>
          <cell r="H21">
            <v>3040.9832999999999</v>
          </cell>
          <cell r="I21">
            <v>93377.602609999987</v>
          </cell>
          <cell r="J21">
            <v>1744.8457699999999</v>
          </cell>
          <cell r="K21">
            <v>770.3140800000001</v>
          </cell>
          <cell r="L21">
            <v>3159.7210800000003</v>
          </cell>
          <cell r="M21">
            <v>6867.7633499999993</v>
          </cell>
          <cell r="N21">
            <v>120919.05516999998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D24">
            <v>0</v>
          </cell>
          <cell r="E24">
            <v>6.0148999999999999</v>
          </cell>
          <cell r="F24">
            <v>460.13248000000016</v>
          </cell>
          <cell r="G24">
            <v>12697.22817</v>
          </cell>
          <cell r="H24">
            <v>46.856990000000003</v>
          </cell>
          <cell r="I24">
            <v>9.1378200000000014</v>
          </cell>
          <cell r="J24">
            <v>47.514399999999995</v>
          </cell>
          <cell r="K24">
            <v>8.3160600000000002</v>
          </cell>
          <cell r="L24">
            <v>576.17075000000011</v>
          </cell>
          <cell r="M24">
            <v>11.18037</v>
          </cell>
          <cell r="N24">
            <v>13862.551939999999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4513.5641400000004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4513.5641400000004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D27">
            <v>0</v>
          </cell>
          <cell r="E27">
            <v>0</v>
          </cell>
          <cell r="F27">
            <v>410.71248000000014</v>
          </cell>
          <cell r="G27">
            <v>6660.3478599999999</v>
          </cell>
          <cell r="H27">
            <v>44</v>
          </cell>
          <cell r="I27">
            <v>0.44714999999999999</v>
          </cell>
          <cell r="J27">
            <v>0</v>
          </cell>
          <cell r="K27">
            <v>0</v>
          </cell>
          <cell r="L27">
            <v>537.63560000000007</v>
          </cell>
          <cell r="M27">
            <v>0</v>
          </cell>
          <cell r="N27">
            <v>7653.1430899999996</v>
          </cell>
        </row>
        <row r="28">
          <cell r="D28">
            <v>0</v>
          </cell>
          <cell r="E28">
            <v>1.0148999999999999</v>
          </cell>
          <cell r="F28">
            <v>49.42</v>
          </cell>
          <cell r="G28">
            <v>1523.3161699999998</v>
          </cell>
          <cell r="H28">
            <v>2.8569900000000001</v>
          </cell>
          <cell r="I28">
            <v>8.6906700000000008</v>
          </cell>
          <cell r="J28">
            <v>27.4254</v>
          </cell>
          <cell r="K28">
            <v>8.3160600000000002</v>
          </cell>
          <cell r="L28">
            <v>38.535150000000002</v>
          </cell>
          <cell r="M28">
            <v>11.18037</v>
          </cell>
          <cell r="N28">
            <v>1670.7557099999999</v>
          </cell>
        </row>
        <row r="29">
          <cell r="D29">
            <v>0</v>
          </cell>
          <cell r="E29">
            <v>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20.088999999999999</v>
          </cell>
          <cell r="K29">
            <v>0</v>
          </cell>
          <cell r="L29">
            <v>0</v>
          </cell>
          <cell r="M29">
            <v>0</v>
          </cell>
          <cell r="N29">
            <v>25.088999999999999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15.005799999999999</v>
          </cell>
          <cell r="L30">
            <v>0</v>
          </cell>
          <cell r="M30">
            <v>1200.9345800000001</v>
          </cell>
          <cell r="N30">
            <v>1215.94038</v>
          </cell>
        </row>
        <row r="31">
          <cell r="D31">
            <v>0</v>
          </cell>
          <cell r="E31">
            <v>0</v>
          </cell>
          <cell r="F31">
            <v>6.5627599999999999</v>
          </cell>
          <cell r="G31">
            <v>11.843720000000001</v>
          </cell>
          <cell r="H31">
            <v>0.16</v>
          </cell>
          <cell r="I31">
            <v>0.05</v>
          </cell>
          <cell r="J31">
            <v>210.47811000000002</v>
          </cell>
          <cell r="K31">
            <v>139.54045000000002</v>
          </cell>
          <cell r="L31">
            <v>0</v>
          </cell>
          <cell r="M31">
            <v>5.6727100000000004</v>
          </cell>
          <cell r="N31">
            <v>374.30775</v>
          </cell>
        </row>
        <row r="32">
          <cell r="D32">
            <v>50</v>
          </cell>
          <cell r="E32">
            <v>0</v>
          </cell>
          <cell r="F32">
            <v>296.52146000000005</v>
          </cell>
          <cell r="G32">
            <v>535.38250000000005</v>
          </cell>
          <cell r="H32">
            <v>251.87322</v>
          </cell>
          <cell r="I32">
            <v>929.76553999999999</v>
          </cell>
          <cell r="J32">
            <v>1311.0350700000001</v>
          </cell>
          <cell r="K32">
            <v>920.02708000000007</v>
          </cell>
          <cell r="L32">
            <v>6837.2238400000006</v>
          </cell>
          <cell r="M32">
            <v>4317.6750600000005</v>
          </cell>
          <cell r="N32">
            <v>15449.503770000003</v>
          </cell>
        </row>
        <row r="33">
          <cell r="D33">
            <v>0</v>
          </cell>
          <cell r="E33">
            <v>0</v>
          </cell>
          <cell r="F33">
            <v>296.52146000000005</v>
          </cell>
          <cell r="G33">
            <v>467.42720000000003</v>
          </cell>
          <cell r="H33">
            <v>0</v>
          </cell>
          <cell r="I33">
            <v>7.7625200000000003</v>
          </cell>
          <cell r="J33">
            <v>375.98514000000006</v>
          </cell>
          <cell r="K33">
            <v>121.66093000000001</v>
          </cell>
          <cell r="L33">
            <v>191.00692999999998</v>
          </cell>
          <cell r="M33">
            <v>4201.7535800000005</v>
          </cell>
          <cell r="N33">
            <v>5662.117760000001</v>
          </cell>
        </row>
        <row r="34">
          <cell r="D34">
            <v>50</v>
          </cell>
          <cell r="E34">
            <v>0</v>
          </cell>
          <cell r="F34">
            <v>0</v>
          </cell>
          <cell r="G34">
            <v>67.955299999999994</v>
          </cell>
          <cell r="H34">
            <v>251.87322</v>
          </cell>
          <cell r="I34">
            <v>922.00301999999999</v>
          </cell>
          <cell r="J34">
            <v>935.04993000000002</v>
          </cell>
          <cell r="K34">
            <v>798.36615000000006</v>
          </cell>
          <cell r="L34">
            <v>6646.216910000001</v>
          </cell>
          <cell r="M34">
            <v>115.92148</v>
          </cell>
          <cell r="N34">
            <v>9787.386010000002</v>
          </cell>
        </row>
        <row r="35">
          <cell r="D35">
            <v>50</v>
          </cell>
          <cell r="E35">
            <v>0</v>
          </cell>
          <cell r="F35">
            <v>0</v>
          </cell>
          <cell r="G35">
            <v>32.977829999999997</v>
          </cell>
          <cell r="H35">
            <v>251.87322</v>
          </cell>
          <cell r="I35">
            <v>922.00301999999999</v>
          </cell>
          <cell r="J35">
            <v>935.04993000000002</v>
          </cell>
          <cell r="K35">
            <v>798.36615000000006</v>
          </cell>
          <cell r="L35">
            <v>5.1959799999999996</v>
          </cell>
          <cell r="M35">
            <v>115.92148</v>
          </cell>
          <cell r="N35">
            <v>3111.3876100000002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796.89015000000006</v>
          </cell>
          <cell r="L36">
            <v>0</v>
          </cell>
          <cell r="M36">
            <v>0</v>
          </cell>
          <cell r="N36">
            <v>796.89015000000006</v>
          </cell>
        </row>
        <row r="37">
          <cell r="D37">
            <v>50</v>
          </cell>
          <cell r="E37">
            <v>0</v>
          </cell>
          <cell r="F37">
            <v>0</v>
          </cell>
          <cell r="G37">
            <v>32.977829999999997</v>
          </cell>
          <cell r="H37">
            <v>251.87322</v>
          </cell>
          <cell r="I37">
            <v>922.00301999999999</v>
          </cell>
          <cell r="J37">
            <v>935.04993000000002</v>
          </cell>
          <cell r="K37">
            <v>1.476</v>
          </cell>
          <cell r="L37">
            <v>5.1959799999999996</v>
          </cell>
          <cell r="M37">
            <v>115.92148</v>
          </cell>
          <cell r="N37">
            <v>2314.49746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34.977470000000004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6641.0209300000006</v>
          </cell>
          <cell r="M40">
            <v>0</v>
          </cell>
          <cell r="N40">
            <v>6675.9984000000004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8">
          <cell r="D48">
            <v>3390</v>
          </cell>
          <cell r="E48">
            <v>543.82567000000006</v>
          </cell>
          <cell r="F48">
            <v>8365.4855299999981</v>
          </cell>
          <cell r="G48">
            <v>110799.02105000005</v>
          </cell>
          <cell r="H48">
            <v>4535.9032000000007</v>
          </cell>
          <cell r="I48">
            <v>95728.643549999993</v>
          </cell>
          <cell r="J48">
            <v>51720.470810000013</v>
          </cell>
          <cell r="K48">
            <v>7833.0958499999997</v>
          </cell>
          <cell r="L48">
            <v>12563.636460000002</v>
          </cell>
          <cell r="M48">
            <v>49660.149660000003</v>
          </cell>
          <cell r="N48">
            <v>345140.23178000003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47617.826910000003</v>
          </cell>
          <cell r="K51">
            <v>0</v>
          </cell>
          <cell r="L51">
            <v>0</v>
          </cell>
          <cell r="M51">
            <v>0</v>
          </cell>
          <cell r="N51">
            <v>47617.826910000003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38065.895100000002</v>
          </cell>
        </row>
      </sheetData>
      <sheetData sheetId="27">
        <row r="3">
          <cell r="C3">
            <v>2025</v>
          </cell>
          <cell r="D3">
            <v>2026</v>
          </cell>
        </row>
        <row r="5">
          <cell r="C5">
            <v>3061.2364699999162</v>
          </cell>
          <cell r="D5">
            <v>6787.6078100000013</v>
          </cell>
        </row>
      </sheetData>
      <sheetData sheetId="28">
        <row r="7">
          <cell r="D7">
            <v>157365.37875999996</v>
          </cell>
          <cell r="E7">
            <v>118500.28975000001</v>
          </cell>
          <cell r="F7">
            <v>275865.66850999999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0</v>
          </cell>
          <cell r="E10">
            <v>0</v>
          </cell>
          <cell r="F10">
            <v>0</v>
          </cell>
        </row>
        <row r="11">
          <cell r="D11">
            <v>2780.5437000000002</v>
          </cell>
          <cell r="E11">
            <v>3645.3909700000004</v>
          </cell>
          <cell r="F11">
            <v>6425.9346700000006</v>
          </cell>
        </row>
        <row r="12">
          <cell r="D12">
            <v>152602.62998999996</v>
          </cell>
          <cell r="E12">
            <v>106026.90573</v>
          </cell>
          <cell r="F12">
            <v>258629.53571999996</v>
          </cell>
        </row>
        <row r="13">
          <cell r="D13">
            <v>8955.8008900000023</v>
          </cell>
          <cell r="E13">
            <v>1081.6647800000001</v>
          </cell>
          <cell r="F13">
            <v>10037.465670000001</v>
          </cell>
        </row>
        <row r="14">
          <cell r="D14">
            <v>143149.76083999994</v>
          </cell>
          <cell r="E14">
            <v>104945.24094999999</v>
          </cell>
          <cell r="F14">
            <v>248095.00178999995</v>
          </cell>
        </row>
        <row r="15">
          <cell r="D15">
            <v>1575.7582699999998</v>
          </cell>
          <cell r="E15">
            <v>3406.4204399999999</v>
          </cell>
          <cell r="F15">
            <v>4982.1787100000001</v>
          </cell>
        </row>
        <row r="16">
          <cell r="D16">
            <v>406.4468</v>
          </cell>
          <cell r="E16">
            <v>5421.5726100000002</v>
          </cell>
          <cell r="F16">
            <v>5828.0194099999999</v>
          </cell>
        </row>
        <row r="17">
          <cell r="D17">
            <v>4172.6048999999994</v>
          </cell>
          <cell r="E17">
            <v>5924.89275</v>
          </cell>
          <cell r="F17">
            <v>10097.497649999999</v>
          </cell>
        </row>
        <row r="18">
          <cell r="D18">
            <v>0</v>
          </cell>
          <cell r="E18">
            <v>18.527999999999999</v>
          </cell>
          <cell r="F18">
            <v>18.527999999999999</v>
          </cell>
        </row>
        <row r="19">
          <cell r="D19">
            <v>4150.5823099999998</v>
          </cell>
          <cell r="E19">
            <v>5894.9814399999996</v>
          </cell>
          <cell r="F19">
            <v>10045.563749999999</v>
          </cell>
        </row>
        <row r="20">
          <cell r="D20">
            <v>2999.7707300000002</v>
          </cell>
          <cell r="E20">
            <v>4247.3032899999989</v>
          </cell>
          <cell r="F20">
            <v>7247.0740199999991</v>
          </cell>
        </row>
        <row r="21">
          <cell r="D21">
            <v>1150.8115799999996</v>
          </cell>
          <cell r="E21">
            <v>1647.6781500000006</v>
          </cell>
          <cell r="F21">
            <v>2798.4897300000002</v>
          </cell>
        </row>
        <row r="22">
          <cell r="D22">
            <v>0</v>
          </cell>
          <cell r="E22">
            <v>3.7193299999999998</v>
          </cell>
          <cell r="F22">
            <v>3.7193299999999998</v>
          </cell>
        </row>
        <row r="32">
          <cell r="D32">
            <v>161537.98365999997</v>
          </cell>
          <cell r="E32">
            <v>124425.18250000001</v>
          </cell>
          <cell r="F32">
            <v>285963.16615999996</v>
          </cell>
        </row>
        <row r="34">
          <cell r="D34">
            <v>152956.14158</v>
          </cell>
          <cell r="E34">
            <v>112170.45741</v>
          </cell>
          <cell r="F34">
            <v>265126.59898999997</v>
          </cell>
        </row>
        <row r="35">
          <cell r="D35">
            <v>15146.107900000003</v>
          </cell>
          <cell r="E35">
            <v>76495.83974000001</v>
          </cell>
          <cell r="F35">
            <v>91641.947640000013</v>
          </cell>
        </row>
        <row r="36">
          <cell r="D36">
            <v>21895.342340000003</v>
          </cell>
          <cell r="E36">
            <v>31558.203419999991</v>
          </cell>
          <cell r="F36">
            <v>53453.545759999994</v>
          </cell>
        </row>
        <row r="37">
          <cell r="D37">
            <v>62.83126</v>
          </cell>
          <cell r="E37">
            <v>90.523039999999995</v>
          </cell>
          <cell r="F37">
            <v>153.35429999999999</v>
          </cell>
        </row>
        <row r="38">
          <cell r="D38">
            <v>108023.39376000001</v>
          </cell>
          <cell r="E38">
            <v>3696.5428299999999</v>
          </cell>
          <cell r="F38">
            <v>111719.93659000001</v>
          </cell>
        </row>
        <row r="39">
          <cell r="D39">
            <v>905.87963000000013</v>
          </cell>
          <cell r="E39">
            <v>0</v>
          </cell>
          <cell r="F39">
            <v>905.87963000000013</v>
          </cell>
        </row>
        <row r="40">
          <cell r="D40">
            <v>107117.51413000001</v>
          </cell>
          <cell r="E40">
            <v>3696.5428299999999</v>
          </cell>
          <cell r="F40">
            <v>110814.05696000002</v>
          </cell>
        </row>
        <row r="41">
          <cell r="D41">
            <v>7818.1990300000007</v>
          </cell>
          <cell r="E41">
            <v>0</v>
          </cell>
          <cell r="F41">
            <v>7818.1990300000007</v>
          </cell>
        </row>
        <row r="42">
          <cell r="D42">
            <v>10.267290000000001</v>
          </cell>
          <cell r="E42">
            <v>329.34838000000002</v>
          </cell>
          <cell r="F42">
            <v>339.61567000000002</v>
          </cell>
        </row>
        <row r="43">
          <cell r="D43">
            <v>3895.3061399999997</v>
          </cell>
          <cell r="E43">
            <v>5467.1172799999995</v>
          </cell>
          <cell r="F43">
            <v>9362.4234199999992</v>
          </cell>
        </row>
        <row r="44">
          <cell r="D44">
            <v>278.00774999999999</v>
          </cell>
          <cell r="E44">
            <v>5218.9161699999995</v>
          </cell>
          <cell r="F44">
            <v>5496.9239199999993</v>
          </cell>
        </row>
        <row r="45">
          <cell r="D45">
            <v>3617.2983899999999</v>
          </cell>
          <cell r="E45">
            <v>248.20111000000003</v>
          </cell>
          <cell r="F45">
            <v>3865.4994999999999</v>
          </cell>
        </row>
        <row r="46">
          <cell r="D46">
            <v>0</v>
          </cell>
          <cell r="E46">
            <v>0</v>
          </cell>
          <cell r="F46">
            <v>0</v>
          </cell>
        </row>
        <row r="48">
          <cell r="D48">
            <v>156851.44772</v>
          </cell>
          <cell r="E48">
            <v>117637.57469000001</v>
          </cell>
          <cell r="F48">
            <v>274489.02240999998</v>
          </cell>
        </row>
        <row r="50">
          <cell r="D50">
            <v>1206.51757</v>
          </cell>
          <cell r="E50">
            <v>23.999479999999998</v>
          </cell>
          <cell r="F50">
            <v>1230.5170499999999</v>
          </cell>
        </row>
        <row r="51">
          <cell r="D51">
            <v>0</v>
          </cell>
          <cell r="E51">
            <v>157.71439000000001</v>
          </cell>
          <cell r="F51">
            <v>157.71439000000001</v>
          </cell>
        </row>
        <row r="52">
          <cell r="D52">
            <v>0</v>
          </cell>
          <cell r="E52">
            <v>0</v>
          </cell>
          <cell r="F52">
            <v>0</v>
          </cell>
        </row>
        <row r="56">
          <cell r="D56">
            <v>4686.5359399999725</v>
          </cell>
          <cell r="E56">
            <v>6787.6078100000013</v>
          </cell>
          <cell r="F56">
            <v>11474.143749999974</v>
          </cell>
        </row>
        <row r="84">
          <cell r="D84">
            <v>4686.5359399999725</v>
          </cell>
          <cell r="E84">
            <v>6787.6078100000013</v>
          </cell>
          <cell r="F84">
            <v>11474.143749999974</v>
          </cell>
        </row>
        <row r="87">
          <cell r="D87">
            <v>156788.61645999999</v>
          </cell>
          <cell r="E87">
            <v>117547.05165000001</v>
          </cell>
          <cell r="F87">
            <v>274335.66810999997</v>
          </cell>
        </row>
        <row r="88">
          <cell r="D88">
            <v>4749.3671999999724</v>
          </cell>
          <cell r="E88">
            <v>6878.1308500000014</v>
          </cell>
          <cell r="F88">
            <v>11627.498049999975</v>
          </cell>
        </row>
        <row r="89">
          <cell r="D89">
            <v>4409.2371799999673</v>
          </cell>
          <cell r="E89">
            <v>6329.8323400000081</v>
          </cell>
          <cell r="F89">
            <v>10739.069520000019</v>
          </cell>
        </row>
        <row r="90">
          <cell r="D90">
            <v>277.29875999999967</v>
          </cell>
          <cell r="E90">
            <v>457.7754700000005</v>
          </cell>
          <cell r="F90">
            <v>735.07423000000017</v>
          </cell>
        </row>
      </sheetData>
      <sheetData sheetId="29">
        <row r="6">
          <cell r="D6">
            <v>66949.300349999932</v>
          </cell>
          <cell r="E6">
            <v>47037.470530000035</v>
          </cell>
          <cell r="F6">
            <v>113986.77087999997</v>
          </cell>
        </row>
        <row r="7">
          <cell r="D7">
            <v>0</v>
          </cell>
          <cell r="E7">
            <v>0</v>
          </cell>
          <cell r="F7">
            <v>0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66949.300349999932</v>
          </cell>
          <cell r="E10">
            <v>47037.470530000035</v>
          </cell>
          <cell r="F10">
            <v>113986.77087999997</v>
          </cell>
        </row>
        <row r="11">
          <cell r="D11">
            <v>64731.885649999931</v>
          </cell>
          <cell r="E11">
            <v>42230.576770000029</v>
          </cell>
          <cell r="F11">
            <v>106962.46241999997</v>
          </cell>
        </row>
        <row r="12">
          <cell r="D12">
            <v>1415.7860500000002</v>
          </cell>
          <cell r="E12">
            <v>1638.148529999999</v>
          </cell>
          <cell r="F12">
            <v>3053.9345799999992</v>
          </cell>
        </row>
        <row r="13">
          <cell r="D13">
            <v>0</v>
          </cell>
          <cell r="E13">
            <v>0.2</v>
          </cell>
          <cell r="F13">
            <v>0.2</v>
          </cell>
        </row>
        <row r="14">
          <cell r="D14">
            <v>1414.0044900000003</v>
          </cell>
          <cell r="E14">
            <v>1636.6784599999989</v>
          </cell>
          <cell r="F14">
            <v>3050.6829499999994</v>
          </cell>
        </row>
        <row r="16">
          <cell r="D16">
            <v>68365.086399999927</v>
          </cell>
          <cell r="E16">
            <v>48675.619060000034</v>
          </cell>
          <cell r="F16">
            <v>117040.70545999997</v>
          </cell>
        </row>
        <row r="17">
          <cell r="D17">
            <v>65856.013690000051</v>
          </cell>
          <cell r="E17">
            <v>58818.761180000001</v>
          </cell>
          <cell r="F17">
            <v>124674.77487000005</v>
          </cell>
        </row>
        <row r="18">
          <cell r="D18">
            <v>19048.034470000017</v>
          </cell>
          <cell r="E18">
            <v>57406.569050000006</v>
          </cell>
          <cell r="F18">
            <v>76454.603520000019</v>
          </cell>
        </row>
        <row r="19">
          <cell r="D19">
            <v>6034.3410600000007</v>
          </cell>
          <cell r="E19">
            <v>33909.76761000001</v>
          </cell>
          <cell r="F19">
            <v>39944.108670000009</v>
          </cell>
        </row>
        <row r="20">
          <cell r="D20">
            <v>13013.693410000016</v>
          </cell>
          <cell r="E20">
            <v>23496.801439999999</v>
          </cell>
          <cell r="F20">
            <v>36510.494850000017</v>
          </cell>
        </row>
        <row r="21">
          <cell r="D21">
            <v>3790.3606800000007</v>
          </cell>
          <cell r="E21">
            <v>0</v>
          </cell>
          <cell r="F21">
            <v>3790.3606800000007</v>
          </cell>
        </row>
        <row r="22">
          <cell r="D22">
            <v>38.010779999999997</v>
          </cell>
          <cell r="E22">
            <v>89.076920000000001</v>
          </cell>
          <cell r="F22">
            <v>127.0877</v>
          </cell>
        </row>
        <row r="23">
          <cell r="D23">
            <v>42979.607760000028</v>
          </cell>
          <cell r="E23">
            <v>1323.1152099999999</v>
          </cell>
          <cell r="F23">
            <v>44302.722970000032</v>
          </cell>
        </row>
        <row r="24">
          <cell r="D24">
            <v>2014.723</v>
          </cell>
          <cell r="E24">
            <v>2386.1812199999999</v>
          </cell>
          <cell r="F24">
            <v>4400.9042200000004</v>
          </cell>
        </row>
        <row r="25">
          <cell r="D25">
            <v>101.44895000000004</v>
          </cell>
          <cell r="E25">
            <v>2196.7401099999997</v>
          </cell>
          <cell r="F25">
            <v>2298.1890599999997</v>
          </cell>
        </row>
        <row r="26">
          <cell r="D26">
            <v>1913.27405</v>
          </cell>
          <cell r="E26">
            <v>189.44111000000001</v>
          </cell>
          <cell r="F26">
            <v>2102.7151600000002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9">
          <cell r="D29">
            <v>67870.736690000049</v>
          </cell>
          <cell r="E29">
            <v>61204.9424</v>
          </cell>
          <cell r="F29">
            <v>129075.67909000005</v>
          </cell>
        </row>
        <row r="31">
          <cell r="D31">
            <v>494.34970999987854</v>
          </cell>
          <cell r="E31">
            <v>-12529.323339999966</v>
          </cell>
          <cell r="F31">
            <v>-12034.973630000088</v>
          </cell>
        </row>
      </sheetData>
      <sheetData sheetId="30"/>
      <sheetData sheetId="31">
        <row r="5">
          <cell r="B5">
            <v>27898635.920000002</v>
          </cell>
          <cell r="C5">
            <v>20392001.980000004</v>
          </cell>
          <cell r="D5">
            <v>1256795.9399999997</v>
          </cell>
          <cell r="E5">
            <v>2.5168722455477326</v>
          </cell>
          <cell r="F5">
            <v>2.5441570968684419</v>
          </cell>
          <cell r="G5">
            <v>4.2103384684453626E-2</v>
          </cell>
        </row>
        <row r="6">
          <cell r="B6">
            <v>24454853.689999998</v>
          </cell>
          <cell r="C6">
            <v>19477876.109999999</v>
          </cell>
          <cell r="D6">
            <v>12202.55</v>
          </cell>
          <cell r="E6">
            <v>0.23370165818016697</v>
          </cell>
          <cell r="F6">
            <v>0.27914004768140099</v>
          </cell>
          <cell r="G6">
            <v>18.369126984126982</v>
          </cell>
        </row>
        <row r="7">
          <cell r="B7">
            <v>52353489.609999999</v>
          </cell>
          <cell r="C7">
            <v>39869878.090000004</v>
          </cell>
          <cell r="D7">
            <v>1268998.4899999998</v>
          </cell>
          <cell r="E7">
            <v>0.88626301580331956</v>
          </cell>
          <cell r="F7">
            <v>0.90028340261306261</v>
          </cell>
          <cell r="G7">
            <v>5.167205779764461E-2</v>
          </cell>
        </row>
        <row r="13">
          <cell r="B13">
            <v>98655434.040000021</v>
          </cell>
          <cell r="C13">
            <v>97186704.050000012</v>
          </cell>
          <cell r="D13">
            <v>40216143.379999995</v>
          </cell>
          <cell r="E13">
            <v>9.3717357352672837E-2</v>
          </cell>
          <cell r="F13">
            <v>9.2383045326800639E-2</v>
          </cell>
          <cell r="G13">
            <v>10.908568642086623</v>
          </cell>
        </row>
        <row r="14">
          <cell r="B14">
            <v>282679.03000000003</v>
          </cell>
          <cell r="C14">
            <v>228883.28</v>
          </cell>
          <cell r="D14">
            <v>0</v>
          </cell>
          <cell r="E14">
            <v>0.20826653250935445</v>
          </cell>
          <cell r="F14">
            <v>0.270455424100285</v>
          </cell>
          <cell r="G14">
            <v>0</v>
          </cell>
        </row>
        <row r="15">
          <cell r="B15">
            <v>98938113.070000023</v>
          </cell>
          <cell r="C15">
            <v>97415587.330000013</v>
          </cell>
          <cell r="D15">
            <v>40216143.379999995</v>
          </cell>
          <cell r="E15">
            <v>9.4013691668650035E-2</v>
          </cell>
          <cell r="F15">
            <v>9.2742911264589667E-2</v>
          </cell>
          <cell r="G15">
            <v>10.908568642086623</v>
          </cell>
        </row>
        <row r="21">
          <cell r="B21">
            <v>62231335.300000004</v>
          </cell>
          <cell r="C21">
            <v>62218851.360000007</v>
          </cell>
          <cell r="D21">
            <v>22093397.120000005</v>
          </cell>
          <cell r="E21">
            <v>-7.8139687118645385E-2</v>
          </cell>
          <cell r="F21">
            <v>-4.232231355459759E-2</v>
          </cell>
          <cell r="G21">
            <v>0.62053045692784914</v>
          </cell>
        </row>
        <row r="22">
          <cell r="B22">
            <v>6475510.2499999991</v>
          </cell>
          <cell r="C22">
            <v>6475510.2499999991</v>
          </cell>
          <cell r="D22">
            <v>195323.65999999997</v>
          </cell>
          <cell r="E22">
            <v>-0.22377804322436956</v>
          </cell>
          <cell r="F22">
            <v>0.14766323065293219</v>
          </cell>
          <cell r="G22">
            <v>0.35547789624223469</v>
          </cell>
        </row>
        <row r="23">
          <cell r="B23">
            <v>68706845.549999997</v>
          </cell>
          <cell r="C23">
            <v>68694361.609999999</v>
          </cell>
          <cell r="D23">
            <v>22288720.780000005</v>
          </cell>
          <cell r="E23">
            <v>-9.4157982278093799E-2</v>
          </cell>
          <cell r="F23">
            <v>-2.7141016214109581E-2</v>
          </cell>
          <cell r="G23">
            <v>0.61775826750462737</v>
          </cell>
        </row>
        <row r="29">
          <cell r="B29">
            <v>188785405.26000002</v>
          </cell>
          <cell r="C29">
            <v>179797557.39000002</v>
          </cell>
          <cell r="D29">
            <v>63566336.439999998</v>
          </cell>
          <cell r="E29">
            <v>0.13972633161253101</v>
          </cell>
          <cell r="F29">
            <v>0.12591782677999563</v>
          </cell>
          <cell r="G29">
            <v>2.489486562444609</v>
          </cell>
        </row>
        <row r="30">
          <cell r="B30">
            <v>11971251.01</v>
          </cell>
          <cell r="C30">
            <v>11442101.219999999</v>
          </cell>
          <cell r="D30">
            <v>157248.84</v>
          </cell>
          <cell r="E30">
            <v>1.3532733358520757</v>
          </cell>
          <cell r="F30">
            <v>1.4953122576192888</v>
          </cell>
          <cell r="G30">
            <v>0</v>
          </cell>
        </row>
        <row r="31">
          <cell r="B31">
            <v>105333113.72000001</v>
          </cell>
          <cell r="C31">
            <v>103421722.74000001</v>
          </cell>
          <cell r="D31">
            <v>30403061.860000007</v>
          </cell>
          <cell r="E31">
            <v>0.12238132192485995</v>
          </cell>
          <cell r="F31">
            <v>0.10583207822208984</v>
          </cell>
          <cell r="G31">
            <v>0.92229241508639581</v>
          </cell>
        </row>
        <row r="32">
          <cell r="B32">
            <v>4565624.5399999991</v>
          </cell>
          <cell r="C32">
            <v>3568231.4299999997</v>
          </cell>
          <cell r="D32">
            <v>2226842.62</v>
          </cell>
          <cell r="E32">
            <v>-0.25138179419204709</v>
          </cell>
          <cell r="F32">
            <v>0.33088862686687803</v>
          </cell>
          <cell r="G32">
            <v>0.1620496662983173</v>
          </cell>
        </row>
        <row r="33">
          <cell r="B33">
            <v>62473935.950000003</v>
          </cell>
          <cell r="C33">
            <v>56924342.769999996</v>
          </cell>
          <cell r="D33">
            <v>30778882.119999997</v>
          </cell>
          <cell r="E33">
            <v>3.1114796287108115E-2</v>
          </cell>
          <cell r="F33">
            <v>-3.3349448680782046E-2</v>
          </cell>
          <cell r="G33">
            <v>93.159581507561271</v>
          </cell>
        </row>
        <row r="34">
          <cell r="B34">
            <v>4415014.0599999996</v>
          </cell>
          <cell r="C34">
            <v>4415014.0599999996</v>
          </cell>
          <cell r="D34">
            <v>0</v>
          </cell>
          <cell r="E34">
            <v>18885.952686516084</v>
          </cell>
          <cell r="F34">
            <v>18885.952686516084</v>
          </cell>
          <cell r="G34">
            <v>0</v>
          </cell>
        </row>
        <row r="35">
          <cell r="B35">
            <v>26465.979999999996</v>
          </cell>
          <cell r="C35">
            <v>26145.17</v>
          </cell>
          <cell r="D35">
            <v>301</v>
          </cell>
          <cell r="E35">
            <v>0.44243709157896416</v>
          </cell>
          <cell r="F35">
            <v>1.4031701970228272</v>
          </cell>
          <cell r="G35">
            <v>4.9019607843137258</v>
          </cell>
        </row>
        <row r="36">
          <cell r="B36">
            <v>31213042.969999999</v>
          </cell>
          <cell r="C36">
            <v>26182269.640000001</v>
          </cell>
          <cell r="D36">
            <v>207526.20999999996</v>
          </cell>
          <cell r="E36">
            <v>9.9103529393449019E-2</v>
          </cell>
          <cell r="F36">
            <v>0.24382374213424618</v>
          </cell>
          <cell r="G36">
            <v>0.43389038639536293</v>
          </cell>
        </row>
        <row r="37">
          <cell r="B37">
            <v>20610747.009999998</v>
          </cell>
          <cell r="C37">
            <v>16137974.699999996</v>
          </cell>
          <cell r="D37">
            <v>207526.20999999996</v>
          </cell>
          <cell r="E37">
            <v>0.14338979459519363</v>
          </cell>
          <cell r="F37">
            <v>0.4319198733507208</v>
          </cell>
          <cell r="G37">
            <v>0.43389038639536293</v>
          </cell>
        </row>
        <row r="38">
          <cell r="B38">
            <v>10602295.959999999</v>
          </cell>
          <cell r="C38">
            <v>10044294.939999999</v>
          </cell>
          <cell r="D38">
            <v>0</v>
          </cell>
          <cell r="E38">
            <v>2.2140994949779946E-2</v>
          </cell>
          <cell r="F38">
            <v>2.7060043107851373E-2</v>
          </cell>
          <cell r="G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B40">
            <v>219998448.23000002</v>
          </cell>
          <cell r="C40">
            <v>205979827.03000003</v>
          </cell>
          <cell r="D40">
            <v>63773862.650000006</v>
          </cell>
          <cell r="E40">
            <v>0.1337809882863612</v>
          </cell>
          <cell r="F40">
            <v>0.13964973038181627</v>
          </cell>
          <cell r="G40">
            <v>2.4732836779450023</v>
          </cell>
        </row>
        <row r="42">
          <cell r="B42">
            <v>152068588.38999999</v>
          </cell>
          <cell r="C42">
            <v>138062451.13</v>
          </cell>
          <cell r="D42">
            <v>41485141.869999997</v>
          </cell>
          <cell r="E42">
            <v>0.22813308750019479</v>
          </cell>
          <cell r="F42">
            <v>0.24905665851910785</v>
          </cell>
          <cell r="G42">
            <v>8.0505309628491748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P21" sqref="P21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 ht="33.75">
      <c r="C1" s="184"/>
      <c r="D1" s="184"/>
      <c r="E1" s="184"/>
      <c r="F1" s="185"/>
      <c r="G1" s="185"/>
      <c r="H1" s="185"/>
      <c r="I1" s="185"/>
      <c r="J1" s="185" t="str">
        <f>+IF(Índice!$D$2=1,"Educação, Ciência e Tecnologia","Education, Science and Technology")</f>
        <v>Education, Science and Technology</v>
      </c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(janeiro-março)","TABLE VIII - Budget execution by organic and economic cross-classification (january-march)")</f>
        <v>TABLE VIII - Budget execution by organic and economic cross-classification (january-march)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Thousands</v>
      </c>
      <c r="P2" s="190" t="str">
        <f>+IF(Índice!$D$2=1,"índice","Index")</f>
        <v>Index</v>
      </c>
    </row>
    <row r="3" spans="2:16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+IF(Índice!$D$2=1,"Turismo, Ambiente e Cultura","Tourism, Enviroment and Culture")</f>
        <v>Tourism, Enviroment and Culture</v>
      </c>
      <c r="G3" s="320" t="str">
        <f>+IF(Índice!$D$2=1,"Educação, Ciência e Tecnologia","Education, Science and Technology")</f>
        <v>Education, Science and Technology</v>
      </c>
      <c r="H3" s="320" t="str">
        <f>+IF(Índice!$D$2=1,"Economia","Economy")</f>
        <v>Economy</v>
      </c>
      <c r="I3" s="192" t="str">
        <f>+IF(Índice!$D$2=1,"Saúde e Proteção Civil","Health and Civil Protection")</f>
        <v>Health and Civil Protection</v>
      </c>
      <c r="J3" s="192" t="str">
        <f>+IF(Índice!$D$2=1,"Finanças","Finances")</f>
        <v>Finances</v>
      </c>
      <c r="K3" s="192" t="str">
        <f>+IF(Índice!$D$2=1,"Agricultura, Pescas e Ambiente","Agriculture and Fisheries")</f>
        <v>Agriculture and Fisheries</v>
      </c>
      <c r="L3" s="192" t="str">
        <f>+IF(Índice!$D$2=1,"Inclusão, Trabalho e Jventude","Inclusion, Labor and Youth")</f>
        <v>Inclusion, Labor and Youth</v>
      </c>
      <c r="M3" s="192" t="str">
        <f>+IF(Índice!$D$2=1,"Equipamentos e Infraestruturas","Equipment and infrastructures")</f>
        <v>Equipment and infrastructures</v>
      </c>
      <c r="N3" s="193" t="s">
        <v>5</v>
      </c>
    </row>
    <row r="4" spans="2:16" ht="27" customHeight="1">
      <c r="C4" s="253" t="str">
        <f>+IF(Índice!$D$2=1,"Despesa corrente","Current expenditure")</f>
        <v>Current expenditure</v>
      </c>
      <c r="D4" s="194">
        <f>+[2]D_Est_Org_Q8!D9</f>
        <v>3340</v>
      </c>
      <c r="E4" s="194">
        <f>+[2]D_Est_Org_Q8!E9</f>
        <v>543.82567000000006</v>
      </c>
      <c r="F4" s="194">
        <f>+[2]D_Est_Org_Q8!F9</f>
        <v>8068.9640699999982</v>
      </c>
      <c r="G4" s="194">
        <f>+[2]D_Est_Org_Q8!G9</f>
        <v>110263.63855000005</v>
      </c>
      <c r="H4" s="194">
        <f>+[2]D_Est_Org_Q8!H9</f>
        <v>4284.0299800000003</v>
      </c>
      <c r="I4" s="194">
        <f>+[2]D_Est_Org_Q8!I9</f>
        <v>94798.87801</v>
      </c>
      <c r="J4" s="194">
        <f>+[2]D_Est_Org_Q8!J9</f>
        <v>50409.435740000015</v>
      </c>
      <c r="K4" s="194">
        <f>+[2]D_Est_Org_Q8!K9</f>
        <v>6913.0687699999999</v>
      </c>
      <c r="L4" s="194">
        <f>+[2]D_Est_Org_Q8!L9</f>
        <v>5726.412620000001</v>
      </c>
      <c r="M4" s="194">
        <f>+[2]D_Est_Org_Q8!M9</f>
        <v>45342.474600000001</v>
      </c>
      <c r="N4" s="194">
        <f>+[2]D_Est_Org_Q8!N9</f>
        <v>329690.72801000002</v>
      </c>
    </row>
    <row r="5" spans="2:16" ht="15" customHeight="1">
      <c r="B5" s="195"/>
      <c r="C5" s="104" t="str">
        <f>+IF(Índice!$D$2=1,"Despesas com o pessoal","Compensation of employees")</f>
        <v>Compensation of employees</v>
      </c>
      <c r="D5" s="196">
        <f>+[2]D_Est_Org_Q8!D10</f>
        <v>0</v>
      </c>
      <c r="E5" s="196">
        <f>+[2]D_Est_Org_Q8!E10</f>
        <v>413.18676000000005</v>
      </c>
      <c r="F5" s="196">
        <f>+[2]D_Est_Org_Q8!F10</f>
        <v>4456.8792699999985</v>
      </c>
      <c r="G5" s="196">
        <f>+[2]D_Est_Org_Q8!G10</f>
        <v>87390.033940000038</v>
      </c>
      <c r="H5" s="196">
        <f>+[2]D_Est_Org_Q8!H10</f>
        <v>1004.5106000000002</v>
      </c>
      <c r="I5" s="196">
        <f>+[2]D_Est_Org_Q8!I10</f>
        <v>1371.8192199999999</v>
      </c>
      <c r="J5" s="196">
        <f>+[2]D_Est_Org_Q8!J10</f>
        <v>7895.266290000005</v>
      </c>
      <c r="K5" s="196">
        <f>+[2]D_Est_Org_Q8!K10</f>
        <v>5484.4929099999999</v>
      </c>
      <c r="L5" s="196">
        <f>+[2]D_Est_Org_Q8!L10</f>
        <v>1911.6289600000007</v>
      </c>
      <c r="M5" s="196">
        <f>+[2]D_Est_Org_Q8!M10</f>
        <v>3741.6318600000004</v>
      </c>
      <c r="N5" s="196">
        <f>+[2]D_Est_Org_Q8!N10</f>
        <v>113669.44981000003</v>
      </c>
      <c r="O5" s="21"/>
    </row>
    <row r="6" spans="2:16" ht="15" customHeight="1">
      <c r="B6" s="195"/>
      <c r="C6" s="109" t="str">
        <f>+IF(Índice!$D$2=1,"Remunerações Certas e Permanentes","Certain and permanent wages")</f>
        <v>Certain and permanent wages</v>
      </c>
      <c r="D6" s="197">
        <f>+[2]D_Est_Org_Q8!D11</f>
        <v>0</v>
      </c>
      <c r="E6" s="197">
        <f>+[2]D_Est_Org_Q8!E11</f>
        <v>324.10710000000006</v>
      </c>
      <c r="F6" s="197">
        <f>+[2]D_Est_Org_Q8!F11</f>
        <v>3516.7750199999987</v>
      </c>
      <c r="G6" s="197">
        <f>+[2]D_Est_Org_Q8!G11</f>
        <v>66190.49595000004</v>
      </c>
      <c r="H6" s="197">
        <f>+[2]D_Est_Org_Q8!H11</f>
        <v>820.86586000000011</v>
      </c>
      <c r="I6" s="197">
        <f>+[2]D_Est_Org_Q8!I11</f>
        <v>1099.1326199999999</v>
      </c>
      <c r="J6" s="197">
        <f>+[2]D_Est_Org_Q8!J11</f>
        <v>5827.2020400000047</v>
      </c>
      <c r="K6" s="197">
        <f>+[2]D_Est_Org_Q8!K11</f>
        <v>4211.6643199999999</v>
      </c>
      <c r="L6" s="197">
        <f>+[2]D_Est_Org_Q8!L11</f>
        <v>1530.7941200000007</v>
      </c>
      <c r="M6" s="197">
        <f>+[2]D_Est_Org_Q8!M11</f>
        <v>2881.9841500000007</v>
      </c>
      <c r="N6" s="197">
        <f>+[2]D_Est_Org_Q8!N11</f>
        <v>86403.021180000054</v>
      </c>
    </row>
    <row r="7" spans="2:16" ht="15" customHeight="1">
      <c r="B7" s="195"/>
      <c r="C7" s="109" t="str">
        <f>+IF(Índice!$D$2=1,"Abonos Variáveis ou Eventuais","Variable or contingent bonuses")</f>
        <v>Variable or contingent bonuses</v>
      </c>
      <c r="D7" s="197">
        <f>+[2]D_Est_Org_Q8!D12</f>
        <v>0</v>
      </c>
      <c r="E7" s="197">
        <f>+[2]D_Est_Org_Q8!E12</f>
        <v>23.083579999999998</v>
      </c>
      <c r="F7" s="197">
        <f>+[2]D_Est_Org_Q8!F12</f>
        <v>408.06739000000005</v>
      </c>
      <c r="G7" s="197">
        <f>+[2]D_Est_Org_Q8!G12</f>
        <v>6739.2283599999992</v>
      </c>
      <c r="H7" s="197">
        <f>+[2]D_Est_Org_Q8!H12</f>
        <v>61.585949999999997</v>
      </c>
      <c r="I7" s="197">
        <f>+[2]D_Est_Org_Q8!I12</f>
        <v>89.572259999999986</v>
      </c>
      <c r="J7" s="197">
        <f>+[2]D_Est_Org_Q8!J12</f>
        <v>1087.9577200000001</v>
      </c>
      <c r="K7" s="197">
        <f>+[2]D_Est_Org_Q8!K12</f>
        <v>621.4550999999999</v>
      </c>
      <c r="L7" s="197">
        <f>+[2]D_Est_Org_Q8!L12</f>
        <v>157.03586000000001</v>
      </c>
      <c r="M7" s="197">
        <f>+[2]D_Est_Org_Q8!M12</f>
        <v>392.01569999999998</v>
      </c>
      <c r="N7" s="197">
        <f>+[2]D_Est_Org_Q8!N12</f>
        <v>9580.001919999997</v>
      </c>
    </row>
    <row r="8" spans="2:16" ht="15" customHeight="1">
      <c r="B8" s="195"/>
      <c r="C8" s="109" t="str">
        <f>+IF(Índice!$D$2=1,"Segurança social","Social security")</f>
        <v>Social security</v>
      </c>
      <c r="D8" s="197">
        <f>+[2]D_Est_Org_Q8!D13</f>
        <v>0</v>
      </c>
      <c r="E8" s="197">
        <f>+[2]D_Est_Org_Q8!E13</f>
        <v>65.996080000000006</v>
      </c>
      <c r="F8" s="197">
        <f>+[2]D_Est_Org_Q8!F13</f>
        <v>532.03685999999993</v>
      </c>
      <c r="G8" s="197">
        <f>+[2]D_Est_Org_Q8!G13</f>
        <v>14460.309630000009</v>
      </c>
      <c r="H8" s="197">
        <f>+[2]D_Est_Org_Q8!H13</f>
        <v>122.05879</v>
      </c>
      <c r="I8" s="197">
        <f>+[2]D_Est_Org_Q8!I13</f>
        <v>183.11433999999997</v>
      </c>
      <c r="J8" s="197">
        <f>+[2]D_Est_Org_Q8!J13</f>
        <v>980.10652999999968</v>
      </c>
      <c r="K8" s="197">
        <f>+[2]D_Est_Org_Q8!K13</f>
        <v>651.37348999999995</v>
      </c>
      <c r="L8" s="197">
        <f>+[2]D_Est_Org_Q8!L13</f>
        <v>223.79898</v>
      </c>
      <c r="M8" s="197">
        <f>+[2]D_Est_Org_Q8!M13</f>
        <v>467.63201000000004</v>
      </c>
      <c r="N8" s="197">
        <f>+[2]D_Est_Org_Q8!N13</f>
        <v>17686.426710000007</v>
      </c>
    </row>
    <row r="9" spans="2:16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f>+[2]D_Est_Org_Q8!D14</f>
        <v>0</v>
      </c>
      <c r="E9" s="196">
        <f>+[2]D_Est_Org_Q8!E14</f>
        <v>124.62400999999997</v>
      </c>
      <c r="F9" s="196">
        <f>+[2]D_Est_Org_Q8!F14</f>
        <v>945.48290999999983</v>
      </c>
      <c r="G9" s="196">
        <f>+[2]D_Est_Org_Q8!G14</f>
        <v>3739.6645200000021</v>
      </c>
      <c r="H9" s="196">
        <f>+[2]D_Est_Org_Q8!H14</f>
        <v>191.51909000000001</v>
      </c>
      <c r="I9" s="196">
        <f>+[2]D_Est_Org_Q8!I14</f>
        <v>40.268360000000001</v>
      </c>
      <c r="J9" s="196">
        <f>+[2]D_Est_Org_Q8!J14</f>
        <v>18156.612520000013</v>
      </c>
      <c r="K9" s="196">
        <f>+[2]D_Est_Org_Q8!K14</f>
        <v>495.39946999999972</v>
      </c>
      <c r="L9" s="196">
        <f>+[2]D_Est_Org_Q8!L14</f>
        <v>78.891829999999999</v>
      </c>
      <c r="M9" s="196">
        <f>+[2]D_Est_Org_Q8!M14</f>
        <v>33515.291729999997</v>
      </c>
      <c r="N9" s="196">
        <f>+[2]D_Est_Org_Q8!N14</f>
        <v>57287.754440000019</v>
      </c>
    </row>
    <row r="10" spans="2:16" ht="15" customHeight="1">
      <c r="B10" s="195"/>
      <c r="C10" s="199" t="str">
        <f>IF(Índice!$D$2=1,"Aquisição de bens","Purchase of goods")</f>
        <v>Purchase of goods</v>
      </c>
      <c r="D10" s="197">
        <f>+[2]D_Est_Org_Q8!D15</f>
        <v>0</v>
      </c>
      <c r="E10" s="197">
        <f>+[2]D_Est_Org_Q8!E15</f>
        <v>18.334769999999999</v>
      </c>
      <c r="F10" s="197">
        <f>+[2]D_Est_Org_Q8!F15</f>
        <v>49.672569999999993</v>
      </c>
      <c r="G10" s="197">
        <f>+[2]D_Est_Org_Q8!G15</f>
        <v>2090.8767400000011</v>
      </c>
      <c r="H10" s="197">
        <f>+[2]D_Est_Org_Q8!H15</f>
        <v>3.5990000000000002</v>
      </c>
      <c r="I10" s="197">
        <f>+[2]D_Est_Org_Q8!I15</f>
        <v>5.5875900000000005</v>
      </c>
      <c r="J10" s="197">
        <f>+[2]D_Est_Org_Q8!J15</f>
        <v>75.283750000000026</v>
      </c>
      <c r="K10" s="197">
        <f>+[2]D_Est_Org_Q8!K15</f>
        <v>80.022099999999995</v>
      </c>
      <c r="L10" s="197">
        <f>+[2]D_Est_Org_Q8!L15</f>
        <v>2.8357200000000002</v>
      </c>
      <c r="M10" s="197">
        <f>+[2]D_Est_Org_Q8!M15</f>
        <v>105.81807000000002</v>
      </c>
      <c r="N10" s="197">
        <f>+[2]D_Est_Org_Q8!N15</f>
        <v>2432.0303100000015</v>
      </c>
    </row>
    <row r="11" spans="2:16" ht="15" customHeight="1">
      <c r="B11" s="195"/>
      <c r="C11" s="199" t="str">
        <f>IF(Índice!$D$2=1,"Aquisição de serviços","Purchase of services")</f>
        <v>Purchase of services</v>
      </c>
      <c r="D11" s="197">
        <f>+[2]D_Est_Org_Q8!D16</f>
        <v>0</v>
      </c>
      <c r="E11" s="197">
        <f>+[2]D_Est_Org_Q8!E16</f>
        <v>106.28923999999998</v>
      </c>
      <c r="F11" s="197">
        <f>+[2]D_Est_Org_Q8!F16</f>
        <v>895.81033999999988</v>
      </c>
      <c r="G11" s="197">
        <f>+[2]D_Est_Org_Q8!G16</f>
        <v>1648.7877800000012</v>
      </c>
      <c r="H11" s="197">
        <f>+[2]D_Est_Org_Q8!H16</f>
        <v>187.92009000000002</v>
      </c>
      <c r="I11" s="197">
        <f>+[2]D_Est_Org_Q8!I16</f>
        <v>34.680770000000003</v>
      </c>
      <c r="J11" s="197">
        <f>+[2]D_Est_Org_Q8!J16</f>
        <v>18081.328770000015</v>
      </c>
      <c r="K11" s="197">
        <f>+[2]D_Est_Org_Q8!K16</f>
        <v>415.37736999999976</v>
      </c>
      <c r="L11" s="197">
        <f>+[2]D_Est_Org_Q8!L16</f>
        <v>76.056110000000004</v>
      </c>
      <c r="M11" s="197">
        <f>+[2]D_Est_Org_Q8!M16</f>
        <v>33409.473659999996</v>
      </c>
      <c r="N11" s="197">
        <f>+[2]D_Est_Org_Q8!N16</f>
        <v>54855.72413000001</v>
      </c>
    </row>
    <row r="12" spans="2:16" ht="15" customHeight="1">
      <c r="B12" s="195"/>
      <c r="C12" s="104" t="str">
        <f>+IF(Índice!$D$2=1,"Juros e outros encargos","Interests and other charges")</f>
        <v>Interests and other charges</v>
      </c>
      <c r="D12" s="198">
        <f>+[2]D_Est_Org_Q8!D17</f>
        <v>0</v>
      </c>
      <c r="E12" s="198">
        <f>+[2]D_Est_Org_Q8!E17</f>
        <v>0</v>
      </c>
      <c r="F12" s="198">
        <f>+[2]D_Est_Org_Q8!F17</f>
        <v>0</v>
      </c>
      <c r="G12" s="198">
        <f>+[2]D_Est_Org_Q8!G17</f>
        <v>6.9498699999999989</v>
      </c>
      <c r="H12" s="198">
        <f>+[2]D_Est_Org_Q8!H17</f>
        <v>0</v>
      </c>
      <c r="I12" s="198">
        <f>+[2]D_Est_Org_Q8!I17</f>
        <v>0</v>
      </c>
      <c r="J12" s="198">
        <f>+[2]D_Est_Org_Q8!J17</f>
        <v>22354.718650000003</v>
      </c>
      <c r="K12" s="198">
        <f>+[2]D_Est_Org_Q8!K17</f>
        <v>0</v>
      </c>
      <c r="L12" s="198">
        <f>+[2]D_Est_Org_Q8!L17</f>
        <v>0</v>
      </c>
      <c r="M12" s="198">
        <f>+[2]D_Est_Org_Q8!M17</f>
        <v>0</v>
      </c>
      <c r="N12" s="198">
        <f>+[2]D_Est_Org_Q8!N17</f>
        <v>22361.668520000003</v>
      </c>
    </row>
    <row r="13" spans="2:16" ht="15" customHeight="1">
      <c r="B13" s="195"/>
      <c r="C13" s="104" t="str">
        <f>+IF(Índice!$D$2=1,"Transferências correntes","Current transfers")</f>
        <v>Current transfers</v>
      </c>
      <c r="D13" s="196">
        <f>+[2]D_Est_Org_Q8!D18</f>
        <v>3340</v>
      </c>
      <c r="E13" s="196">
        <f>+[2]D_Est_Org_Q8!E18</f>
        <v>6.0148999999999999</v>
      </c>
      <c r="F13" s="196">
        <f>+[2]D_Est_Org_Q8!F18</f>
        <v>2660.0391300000001</v>
      </c>
      <c r="G13" s="196">
        <f>+[2]D_Est_Org_Q8!G18</f>
        <v>19115.146499999999</v>
      </c>
      <c r="H13" s="196">
        <f>+[2]D_Est_Org_Q8!H18</f>
        <v>3087.8402900000001</v>
      </c>
      <c r="I13" s="196">
        <f>+[2]D_Est_Org_Q8!I18</f>
        <v>93386.740429999991</v>
      </c>
      <c r="J13" s="196">
        <f>+[2]D_Est_Org_Q8!J18</f>
        <v>1792.3601699999999</v>
      </c>
      <c r="K13" s="196">
        <f>+[2]D_Est_Org_Q8!K18</f>
        <v>778.6301400000001</v>
      </c>
      <c r="L13" s="196">
        <f>+[2]D_Est_Org_Q8!L18</f>
        <v>3735.8918300000005</v>
      </c>
      <c r="M13" s="196">
        <f>+[2]D_Est_Org_Q8!M18</f>
        <v>6878.9437199999993</v>
      </c>
      <c r="N13" s="196">
        <f>+[2]D_Est_Org_Q8!N18</f>
        <v>134781.60710999998</v>
      </c>
    </row>
    <row r="14" spans="2:16" ht="15" customHeight="1">
      <c r="B14" s="195"/>
      <c r="C14" s="109" t="str">
        <f>IF(Índice!$D$2=1,"Administração Pública","Public Administration")</f>
        <v>Public Administration</v>
      </c>
      <c r="D14" s="200">
        <f>+[2]D_Est_Org_Q8!D19</f>
        <v>3340</v>
      </c>
      <c r="E14" s="200">
        <f>+[2]D_Est_Org_Q8!E19</f>
        <v>0</v>
      </c>
      <c r="F14" s="200">
        <f>+[2]D_Est_Org_Q8!F19</f>
        <v>2199.9066499999999</v>
      </c>
      <c r="G14" s="200">
        <f>+[2]D_Est_Org_Q8!G19</f>
        <v>6417.9183299999986</v>
      </c>
      <c r="H14" s="200">
        <f>+[2]D_Est_Org_Q8!H19</f>
        <v>3040.9832999999999</v>
      </c>
      <c r="I14" s="200">
        <f>+[2]D_Est_Org_Q8!I19</f>
        <v>93377.602609999987</v>
      </c>
      <c r="J14" s="200">
        <f>+[2]D_Est_Org_Q8!J19</f>
        <v>1744.8457699999999</v>
      </c>
      <c r="K14" s="200">
        <f>+[2]D_Est_Org_Q8!K19</f>
        <v>770.3140800000001</v>
      </c>
      <c r="L14" s="200">
        <f>+[2]D_Est_Org_Q8!L19</f>
        <v>3159.7210800000003</v>
      </c>
      <c r="M14" s="200">
        <f>+[2]D_Est_Org_Q8!M19</f>
        <v>6867.7633499999993</v>
      </c>
      <c r="N14" s="200">
        <f>+[2]D_Est_Org_Q8!N19</f>
        <v>120919.05516999998</v>
      </c>
    </row>
    <row r="15" spans="2:16" ht="15" customHeight="1">
      <c r="B15" s="195"/>
      <c r="C15" s="201" t="str">
        <f>IF(Índice!$D$2=1,"Administração Central","Central Administration")</f>
        <v>Central Administration</v>
      </c>
      <c r="D15" s="197">
        <f>+[2]D_Est_Org_Q8!D20</f>
        <v>0</v>
      </c>
      <c r="E15" s="197">
        <f>+[2]D_Est_Org_Q8!E20</f>
        <v>0</v>
      </c>
      <c r="F15" s="197">
        <f>+[2]D_Est_Org_Q8!F20</f>
        <v>0</v>
      </c>
      <c r="G15" s="197">
        <f>+[2]D_Est_Org_Q8!G20</f>
        <v>0</v>
      </c>
      <c r="H15" s="197">
        <f>+[2]D_Est_Org_Q8!H20</f>
        <v>0</v>
      </c>
      <c r="I15" s="197">
        <f>+[2]D_Est_Org_Q8!I20</f>
        <v>0</v>
      </c>
      <c r="J15" s="197">
        <f>+[2]D_Est_Org_Q8!J20</f>
        <v>0</v>
      </c>
      <c r="K15" s="197">
        <f>+[2]D_Est_Org_Q8!K20</f>
        <v>0</v>
      </c>
      <c r="L15" s="197">
        <f>+[2]D_Est_Org_Q8!L20</f>
        <v>0</v>
      </c>
      <c r="M15" s="197">
        <f>+[2]D_Est_Org_Q8!M20</f>
        <v>0</v>
      </c>
      <c r="N15" s="197">
        <f>+[2]D_Est_Org_Q8!N20</f>
        <v>0</v>
      </c>
    </row>
    <row r="16" spans="2:16" ht="15" customHeight="1">
      <c r="B16" s="195"/>
      <c r="C16" s="201" t="str">
        <f>IF(Índice!$D$2=1,"Administração Regional","Regional Administration")</f>
        <v>Regional Administration</v>
      </c>
      <c r="D16" s="198">
        <f>+[2]D_Est_Org_Q8!D21</f>
        <v>3340</v>
      </c>
      <c r="E16" s="198">
        <f>+[2]D_Est_Org_Q8!E21</f>
        <v>0</v>
      </c>
      <c r="F16" s="198">
        <f>+[2]D_Est_Org_Q8!F21</f>
        <v>2199.9066499999999</v>
      </c>
      <c r="G16" s="198">
        <f>+[2]D_Est_Org_Q8!G21</f>
        <v>6417.9183299999986</v>
      </c>
      <c r="H16" s="198">
        <f>+[2]D_Est_Org_Q8!H21</f>
        <v>3040.9832999999999</v>
      </c>
      <c r="I16" s="198">
        <f>+[2]D_Est_Org_Q8!I21</f>
        <v>93377.602609999987</v>
      </c>
      <c r="J16" s="198">
        <f>+[2]D_Est_Org_Q8!J21</f>
        <v>1744.8457699999999</v>
      </c>
      <c r="K16" s="198">
        <f>+[2]D_Est_Org_Q8!K21</f>
        <v>770.3140800000001</v>
      </c>
      <c r="L16" s="198">
        <f>+[2]D_Est_Org_Q8!L21</f>
        <v>3159.7210800000003</v>
      </c>
      <c r="M16" s="198">
        <f>+[2]D_Est_Org_Q8!M21</f>
        <v>6867.7633499999993</v>
      </c>
      <c r="N16" s="198">
        <f>+[2]D_Est_Org_Q8!N21</f>
        <v>120919.05516999998</v>
      </c>
    </row>
    <row r="17" spans="2:14" ht="15" customHeight="1">
      <c r="B17" s="195"/>
      <c r="C17" s="201" t="str">
        <f>IF(Índice!$D$2=1,"Administração Local","Local Administration")</f>
        <v>Local Administration</v>
      </c>
      <c r="D17" s="197">
        <f>+[2]D_Est_Org_Q8!D22</f>
        <v>0</v>
      </c>
      <c r="E17" s="197">
        <f>+[2]D_Est_Org_Q8!E22</f>
        <v>0</v>
      </c>
      <c r="F17" s="197">
        <f>+[2]D_Est_Org_Q8!F22</f>
        <v>0</v>
      </c>
      <c r="G17" s="197">
        <f>+[2]D_Est_Org_Q8!G22</f>
        <v>0</v>
      </c>
      <c r="H17" s="197">
        <f>+[2]D_Est_Org_Q8!H22</f>
        <v>0</v>
      </c>
      <c r="I17" s="197">
        <f>+[2]D_Est_Org_Q8!I22</f>
        <v>0</v>
      </c>
      <c r="J17" s="197">
        <f>+[2]D_Est_Org_Q8!J22</f>
        <v>0</v>
      </c>
      <c r="K17" s="197">
        <f>+[2]D_Est_Org_Q8!K22</f>
        <v>0</v>
      </c>
      <c r="L17" s="197">
        <f>+[2]D_Est_Org_Q8!L22</f>
        <v>0</v>
      </c>
      <c r="M17" s="197">
        <f>+[2]D_Est_Org_Q8!M22</f>
        <v>0</v>
      </c>
      <c r="N17" s="197">
        <f>+[2]D_Est_Org_Q8!N22</f>
        <v>0</v>
      </c>
    </row>
    <row r="18" spans="2:14" ht="15" customHeight="1">
      <c r="B18" s="195"/>
      <c r="C18" s="201" t="str">
        <f>+IF(Índice!$D$2=1,"Segurança social","Social security")</f>
        <v>Social security</v>
      </c>
      <c r="D18" s="197">
        <f>+[2]D_Est_Org_Q8!D23</f>
        <v>0</v>
      </c>
      <c r="E18" s="197">
        <f>+[2]D_Est_Org_Q8!E23</f>
        <v>0</v>
      </c>
      <c r="F18" s="197">
        <f>+[2]D_Est_Org_Q8!F23</f>
        <v>0</v>
      </c>
      <c r="G18" s="197">
        <f>+[2]D_Est_Org_Q8!G23</f>
        <v>0</v>
      </c>
      <c r="H18" s="197">
        <f>+[2]D_Est_Org_Q8!H23</f>
        <v>0</v>
      </c>
      <c r="I18" s="197">
        <f>+[2]D_Est_Org_Q8!I23</f>
        <v>0</v>
      </c>
      <c r="J18" s="197">
        <f>+[2]D_Est_Org_Q8!J23</f>
        <v>0</v>
      </c>
      <c r="K18" s="197">
        <f>+[2]D_Est_Org_Q8!K23</f>
        <v>0</v>
      </c>
      <c r="L18" s="197">
        <f>+[2]D_Est_Org_Q8!L23</f>
        <v>0</v>
      </c>
      <c r="M18" s="197">
        <f>+[2]D_Est_Org_Q8!M23</f>
        <v>0</v>
      </c>
      <c r="N18" s="197">
        <f>+[2]D_Est_Org_Q8!N23</f>
        <v>0</v>
      </c>
    </row>
    <row r="19" spans="2:14" ht="15" customHeight="1">
      <c r="B19" s="195"/>
      <c r="C19" s="109" t="str">
        <f>+IF(Índice!$D$2=1,"Outras transferências correntes","Other current transfers")</f>
        <v>Other current transfers</v>
      </c>
      <c r="D19" s="200">
        <f>+[2]D_Est_Org_Q8!D24</f>
        <v>0</v>
      </c>
      <c r="E19" s="200">
        <f>+[2]D_Est_Org_Q8!E24</f>
        <v>6.0148999999999999</v>
      </c>
      <c r="F19" s="200">
        <f>+[2]D_Est_Org_Q8!F24</f>
        <v>460.13248000000016</v>
      </c>
      <c r="G19" s="200">
        <f>+[2]D_Est_Org_Q8!G24</f>
        <v>12697.22817</v>
      </c>
      <c r="H19" s="200">
        <f>+[2]D_Est_Org_Q8!H24</f>
        <v>46.856990000000003</v>
      </c>
      <c r="I19" s="200">
        <f>+[2]D_Est_Org_Q8!I24</f>
        <v>9.1378200000000014</v>
      </c>
      <c r="J19" s="200">
        <f>+[2]D_Est_Org_Q8!J24</f>
        <v>47.514399999999995</v>
      </c>
      <c r="K19" s="200">
        <f>+[2]D_Est_Org_Q8!K24</f>
        <v>8.3160600000000002</v>
      </c>
      <c r="L19" s="200">
        <f>+[2]D_Est_Org_Q8!L24</f>
        <v>576.17075000000011</v>
      </c>
      <c r="M19" s="200">
        <f>+[2]D_Est_Org_Q8!M24</f>
        <v>11.18037</v>
      </c>
      <c r="N19" s="200">
        <f>+[2]D_Est_Org_Q8!N24</f>
        <v>13862.551939999999</v>
      </c>
    </row>
    <row r="20" spans="2:14" hidden="1">
      <c r="B20" s="195"/>
      <c r="C20" s="187">
        <v>0</v>
      </c>
      <c r="D20" s="198">
        <f>+[2]D_Est_Org_Q8!D25</f>
        <v>0</v>
      </c>
      <c r="E20" s="198">
        <f>+[2]D_Est_Org_Q8!E25</f>
        <v>0</v>
      </c>
      <c r="F20" s="198">
        <f>+[2]D_Est_Org_Q8!F25</f>
        <v>0</v>
      </c>
      <c r="G20" s="198">
        <f>+[2]D_Est_Org_Q8!G25</f>
        <v>4513.5641400000004</v>
      </c>
      <c r="H20" s="198">
        <f>+[2]D_Est_Org_Q8!H25</f>
        <v>0</v>
      </c>
      <c r="I20" s="198">
        <f>+[2]D_Est_Org_Q8!I25</f>
        <v>0</v>
      </c>
      <c r="J20" s="198">
        <f>+[2]D_Est_Org_Q8!J25</f>
        <v>0</v>
      </c>
      <c r="K20" s="198">
        <f>+[2]D_Est_Org_Q8!K25</f>
        <v>0</v>
      </c>
      <c r="L20" s="198">
        <f>+[2]D_Est_Org_Q8!L25</f>
        <v>0</v>
      </c>
      <c r="M20" s="198">
        <f>+[2]D_Est_Org_Q8!M25</f>
        <v>0</v>
      </c>
      <c r="N20" s="198">
        <f>+[2]D_Est_Org_Q8!N25</f>
        <v>4513.5641400000004</v>
      </c>
    </row>
    <row r="21" spans="2:14" hidden="1">
      <c r="B21" s="195"/>
      <c r="C21" s="104">
        <v>0</v>
      </c>
      <c r="D21" s="198">
        <f>+[2]D_Est_Org_Q8!D26</f>
        <v>0</v>
      </c>
      <c r="E21" s="198">
        <f>+[2]D_Est_Org_Q8!E26</f>
        <v>0</v>
      </c>
      <c r="F21" s="198">
        <f>+[2]D_Est_Org_Q8!F26</f>
        <v>0</v>
      </c>
      <c r="G21" s="198">
        <f>+[2]D_Est_Org_Q8!G26</f>
        <v>0</v>
      </c>
      <c r="H21" s="198">
        <f>+[2]D_Est_Org_Q8!H26</f>
        <v>0</v>
      </c>
      <c r="I21" s="198">
        <f>+[2]D_Est_Org_Q8!I26</f>
        <v>0</v>
      </c>
      <c r="J21" s="198">
        <f>+[2]D_Est_Org_Q8!J26</f>
        <v>0</v>
      </c>
      <c r="K21" s="198">
        <f>+[2]D_Est_Org_Q8!K26</f>
        <v>0</v>
      </c>
      <c r="L21" s="198">
        <f>+[2]D_Est_Org_Q8!L26</f>
        <v>0</v>
      </c>
      <c r="M21" s="198">
        <f>+[2]D_Est_Org_Q8!M26</f>
        <v>0</v>
      </c>
      <c r="N21" s="198">
        <f>+[2]D_Est_Org_Q8!N26</f>
        <v>0</v>
      </c>
    </row>
    <row r="22" spans="2:14" hidden="1">
      <c r="B22" s="195"/>
      <c r="C22" s="104">
        <v>0</v>
      </c>
      <c r="D22" s="198">
        <f>+[2]D_Est_Org_Q8!D27</f>
        <v>0</v>
      </c>
      <c r="E22" s="198">
        <f>+[2]D_Est_Org_Q8!E27</f>
        <v>0</v>
      </c>
      <c r="F22" s="198">
        <f>+[2]D_Est_Org_Q8!F27</f>
        <v>410.71248000000014</v>
      </c>
      <c r="G22" s="198">
        <f>+[2]D_Est_Org_Q8!G27</f>
        <v>6660.3478599999999</v>
      </c>
      <c r="H22" s="198">
        <f>+[2]D_Est_Org_Q8!H27</f>
        <v>44</v>
      </c>
      <c r="I22" s="198">
        <f>+[2]D_Est_Org_Q8!I27</f>
        <v>0.44714999999999999</v>
      </c>
      <c r="J22" s="198">
        <f>+[2]D_Est_Org_Q8!J27</f>
        <v>0</v>
      </c>
      <c r="K22" s="198">
        <f>+[2]D_Est_Org_Q8!K27</f>
        <v>0</v>
      </c>
      <c r="L22" s="198">
        <f>+[2]D_Est_Org_Q8!L27</f>
        <v>537.63560000000007</v>
      </c>
      <c r="M22" s="198">
        <f>+[2]D_Est_Org_Q8!M27</f>
        <v>0</v>
      </c>
      <c r="N22" s="198">
        <f>+[2]D_Est_Org_Q8!N27</f>
        <v>7653.1430899999996</v>
      </c>
    </row>
    <row r="23" spans="2:14" hidden="1">
      <c r="B23" s="195"/>
      <c r="C23" s="104">
        <v>0</v>
      </c>
      <c r="D23" s="198">
        <f>+[2]D_Est_Org_Q8!D28</f>
        <v>0</v>
      </c>
      <c r="E23" s="198">
        <f>+[2]D_Est_Org_Q8!E28</f>
        <v>1.0148999999999999</v>
      </c>
      <c r="F23" s="198">
        <f>+[2]D_Est_Org_Q8!F28</f>
        <v>49.42</v>
      </c>
      <c r="G23" s="198">
        <f>+[2]D_Est_Org_Q8!G28</f>
        <v>1523.3161699999998</v>
      </c>
      <c r="H23" s="198">
        <f>+[2]D_Est_Org_Q8!H28</f>
        <v>2.8569900000000001</v>
      </c>
      <c r="I23" s="198">
        <f>+[2]D_Est_Org_Q8!I28</f>
        <v>8.6906700000000008</v>
      </c>
      <c r="J23" s="198">
        <f>+[2]D_Est_Org_Q8!J28</f>
        <v>27.4254</v>
      </c>
      <c r="K23" s="198">
        <f>+[2]D_Est_Org_Q8!K28</f>
        <v>8.3160600000000002</v>
      </c>
      <c r="L23" s="198">
        <f>+[2]D_Est_Org_Q8!L28</f>
        <v>38.535150000000002</v>
      </c>
      <c r="M23" s="198">
        <f>+[2]D_Est_Org_Q8!M28</f>
        <v>11.18037</v>
      </c>
      <c r="N23" s="198">
        <f>+[2]D_Est_Org_Q8!N28</f>
        <v>1670.7557099999999</v>
      </c>
    </row>
    <row r="24" spans="2:14" hidden="1">
      <c r="B24" s="195"/>
      <c r="C24" s="187">
        <v>0</v>
      </c>
      <c r="D24" s="198">
        <f>+[2]D_Est_Org_Q8!D29</f>
        <v>0</v>
      </c>
      <c r="E24" s="198">
        <f>+[2]D_Est_Org_Q8!E29</f>
        <v>5</v>
      </c>
      <c r="F24" s="198">
        <f>+[2]D_Est_Org_Q8!F29</f>
        <v>0</v>
      </c>
      <c r="G24" s="198">
        <f>+[2]D_Est_Org_Q8!G29</f>
        <v>0</v>
      </c>
      <c r="H24" s="198">
        <f>+[2]D_Est_Org_Q8!H29</f>
        <v>0</v>
      </c>
      <c r="I24" s="198">
        <f>+[2]D_Est_Org_Q8!I29</f>
        <v>0</v>
      </c>
      <c r="J24" s="198">
        <f>+[2]D_Est_Org_Q8!J29</f>
        <v>20.088999999999999</v>
      </c>
      <c r="K24" s="198">
        <f>+[2]D_Est_Org_Q8!K29</f>
        <v>0</v>
      </c>
      <c r="L24" s="198">
        <f>+[2]D_Est_Org_Q8!L29</f>
        <v>0</v>
      </c>
      <c r="M24" s="198">
        <f>+[2]D_Est_Org_Q8!M29</f>
        <v>0</v>
      </c>
      <c r="N24" s="198">
        <f>+[2]D_Est_Org_Q8!N29</f>
        <v>25.088999999999999</v>
      </c>
    </row>
    <row r="25" spans="2:14" ht="15" customHeight="1">
      <c r="B25" s="195"/>
      <c r="C25" s="104" t="str">
        <f>+IF(Índice!$D$2=1,"Subsídios","Subsidies")</f>
        <v>Subsidies</v>
      </c>
      <c r="D25" s="198">
        <f>+[2]D_Est_Org_Q8!D30</f>
        <v>0</v>
      </c>
      <c r="E25" s="198">
        <f>+[2]D_Est_Org_Q8!E30</f>
        <v>0</v>
      </c>
      <c r="F25" s="198">
        <f>+[2]D_Est_Org_Q8!F30</f>
        <v>0</v>
      </c>
      <c r="G25" s="198">
        <f>+[2]D_Est_Org_Q8!G30</f>
        <v>0</v>
      </c>
      <c r="H25" s="198">
        <f>+[2]D_Est_Org_Q8!H30</f>
        <v>0</v>
      </c>
      <c r="I25" s="198">
        <f>+[2]D_Est_Org_Q8!I30</f>
        <v>0</v>
      </c>
      <c r="J25" s="198">
        <f>+[2]D_Est_Org_Q8!J30</f>
        <v>0</v>
      </c>
      <c r="K25" s="198">
        <f>+[2]D_Est_Org_Q8!K30</f>
        <v>15.005799999999999</v>
      </c>
      <c r="L25" s="198">
        <f>+[2]D_Est_Org_Q8!L30</f>
        <v>0</v>
      </c>
      <c r="M25" s="198">
        <f>+[2]D_Est_Org_Q8!M30</f>
        <v>1200.9345800000001</v>
      </c>
      <c r="N25" s="198">
        <f>+[2]D_Est_Org_Q8!N30</f>
        <v>1215.94038</v>
      </c>
    </row>
    <row r="26" spans="2:14" ht="15" customHeight="1">
      <c r="B26" s="195"/>
      <c r="C26" s="104" t="str">
        <f>+IF(Índice!$D$2=1,"Outras despesas correntes","Other current expenditures")</f>
        <v>Other current expenditures</v>
      </c>
      <c r="D26" s="198">
        <f>+[2]D_Est_Org_Q8!D31</f>
        <v>0</v>
      </c>
      <c r="E26" s="198">
        <f>+[2]D_Est_Org_Q8!E31</f>
        <v>0</v>
      </c>
      <c r="F26" s="198">
        <f>+[2]D_Est_Org_Q8!F31</f>
        <v>6.5627599999999999</v>
      </c>
      <c r="G26" s="198">
        <f>+[2]D_Est_Org_Q8!G31</f>
        <v>11.843720000000001</v>
      </c>
      <c r="H26" s="198">
        <f>+[2]D_Est_Org_Q8!H31</f>
        <v>0.16</v>
      </c>
      <c r="I26" s="198">
        <f>+[2]D_Est_Org_Q8!I31</f>
        <v>0.05</v>
      </c>
      <c r="J26" s="198">
        <f>+[2]D_Est_Org_Q8!J31</f>
        <v>210.47811000000002</v>
      </c>
      <c r="K26" s="198">
        <f>+[2]D_Est_Org_Q8!K31</f>
        <v>139.54045000000002</v>
      </c>
      <c r="L26" s="198">
        <f>+[2]D_Est_Org_Q8!L31</f>
        <v>0</v>
      </c>
      <c r="M26" s="198">
        <f>+[2]D_Est_Org_Q8!M31</f>
        <v>5.6727100000000004</v>
      </c>
      <c r="N26" s="198">
        <f>+[2]D_Est_Org_Q8!N31</f>
        <v>374.30775</v>
      </c>
    </row>
    <row r="27" spans="2:14" ht="24.95" customHeight="1">
      <c r="B27" s="195"/>
      <c r="C27" s="202" t="str">
        <f>+IF(Índice!$D$2=1,"Despesa de capital","Capital expenditure")</f>
        <v>Capital expenditure</v>
      </c>
      <c r="D27" s="32">
        <f>+[2]D_Est_Org_Q8!D32</f>
        <v>50</v>
      </c>
      <c r="E27" s="32">
        <f>+[2]D_Est_Org_Q8!E32</f>
        <v>0</v>
      </c>
      <c r="F27" s="32">
        <f>+[2]D_Est_Org_Q8!F32</f>
        <v>296.52146000000005</v>
      </c>
      <c r="G27" s="32">
        <f>+[2]D_Est_Org_Q8!G32</f>
        <v>535.38250000000005</v>
      </c>
      <c r="H27" s="32">
        <f>+[2]D_Est_Org_Q8!H32</f>
        <v>251.87322</v>
      </c>
      <c r="I27" s="32">
        <f>+[2]D_Est_Org_Q8!I32</f>
        <v>929.76553999999999</v>
      </c>
      <c r="J27" s="32">
        <f>+[2]D_Est_Org_Q8!J32</f>
        <v>1311.0350700000001</v>
      </c>
      <c r="K27" s="32">
        <f>+[2]D_Est_Org_Q8!K32</f>
        <v>920.02708000000007</v>
      </c>
      <c r="L27" s="32">
        <f>+[2]D_Est_Org_Q8!L32</f>
        <v>6837.2238400000006</v>
      </c>
      <c r="M27" s="32">
        <f>+[2]D_Est_Org_Q8!M32</f>
        <v>4317.6750600000005</v>
      </c>
      <c r="N27" s="32">
        <f>+[2]D_Est_Org_Q8!N32</f>
        <v>15449.503770000003</v>
      </c>
    </row>
    <row r="28" spans="2:14" ht="15" customHeight="1">
      <c r="B28" s="195"/>
      <c r="C28" s="104" t="str">
        <f>+IF(Índice!$D$2=1,"Investimento","Investment")</f>
        <v>Investment</v>
      </c>
      <c r="D28" s="198">
        <f>+[2]D_Est_Org_Q8!D33</f>
        <v>0</v>
      </c>
      <c r="E28" s="198">
        <f>+[2]D_Est_Org_Q8!E33</f>
        <v>0</v>
      </c>
      <c r="F28" s="198">
        <f>+[2]D_Est_Org_Q8!F33</f>
        <v>296.52146000000005</v>
      </c>
      <c r="G28" s="198">
        <f>+[2]D_Est_Org_Q8!G33</f>
        <v>467.42720000000003</v>
      </c>
      <c r="H28" s="198">
        <f>+[2]D_Est_Org_Q8!H33</f>
        <v>0</v>
      </c>
      <c r="I28" s="198">
        <f>+[2]D_Est_Org_Q8!I33</f>
        <v>7.7625200000000003</v>
      </c>
      <c r="J28" s="198">
        <f>+[2]D_Est_Org_Q8!J33</f>
        <v>375.98514000000006</v>
      </c>
      <c r="K28" s="198">
        <f>+[2]D_Est_Org_Q8!K33</f>
        <v>121.66093000000001</v>
      </c>
      <c r="L28" s="198">
        <f>+[2]D_Est_Org_Q8!L33</f>
        <v>191.00692999999998</v>
      </c>
      <c r="M28" s="198">
        <f>+[2]D_Est_Org_Q8!M33</f>
        <v>4201.7535800000005</v>
      </c>
      <c r="N28" s="198">
        <f>+[2]D_Est_Org_Q8!N33</f>
        <v>5662.117760000001</v>
      </c>
    </row>
    <row r="29" spans="2:14" ht="15" customHeight="1">
      <c r="C29" s="104" t="str">
        <f>+IF(Índice!$D$2=1,"Transferências capital","Capital transfers")</f>
        <v>Capital transfers</v>
      </c>
      <c r="D29" s="196">
        <f>+[2]D_Est_Org_Q8!D34</f>
        <v>50</v>
      </c>
      <c r="E29" s="196">
        <f>+[2]D_Est_Org_Q8!E34</f>
        <v>0</v>
      </c>
      <c r="F29" s="196">
        <f>+[2]D_Est_Org_Q8!F34</f>
        <v>0</v>
      </c>
      <c r="G29" s="196">
        <f>+[2]D_Est_Org_Q8!G34</f>
        <v>67.955299999999994</v>
      </c>
      <c r="H29" s="196">
        <f>+[2]D_Est_Org_Q8!H34</f>
        <v>251.87322</v>
      </c>
      <c r="I29" s="196">
        <f>+[2]D_Est_Org_Q8!I34</f>
        <v>922.00301999999999</v>
      </c>
      <c r="J29" s="196">
        <f>+[2]D_Est_Org_Q8!J34</f>
        <v>935.04993000000002</v>
      </c>
      <c r="K29" s="196">
        <f>+[2]D_Est_Org_Q8!K34</f>
        <v>798.36615000000006</v>
      </c>
      <c r="L29" s="196">
        <f>+[2]D_Est_Org_Q8!L34</f>
        <v>6646.216910000001</v>
      </c>
      <c r="M29" s="196">
        <f>+[2]D_Est_Org_Q8!M34</f>
        <v>115.92148</v>
      </c>
      <c r="N29" s="196">
        <f>+[2]D_Est_Org_Q8!N34</f>
        <v>9787.386010000002</v>
      </c>
    </row>
    <row r="30" spans="2:14" ht="15" customHeight="1">
      <c r="C30" s="109" t="str">
        <f>IF(Índice!$D$2=1,"Administração Pública","Public Administration")</f>
        <v>Public Administration</v>
      </c>
      <c r="D30" s="200">
        <f>+[2]D_Est_Org_Q8!D35</f>
        <v>50</v>
      </c>
      <c r="E30" s="200">
        <f>+[2]D_Est_Org_Q8!E35</f>
        <v>0</v>
      </c>
      <c r="F30" s="200">
        <f>+[2]D_Est_Org_Q8!F35</f>
        <v>0</v>
      </c>
      <c r="G30" s="200">
        <f>+[2]D_Est_Org_Q8!G35</f>
        <v>32.977829999999997</v>
      </c>
      <c r="H30" s="200">
        <f>+[2]D_Est_Org_Q8!H35</f>
        <v>251.87322</v>
      </c>
      <c r="I30" s="200">
        <f>+[2]D_Est_Org_Q8!I35</f>
        <v>922.00301999999999</v>
      </c>
      <c r="J30" s="200">
        <f>+[2]D_Est_Org_Q8!J35</f>
        <v>935.04993000000002</v>
      </c>
      <c r="K30" s="200">
        <f>+[2]D_Est_Org_Q8!K35</f>
        <v>798.36615000000006</v>
      </c>
      <c r="L30" s="200">
        <f>+[2]D_Est_Org_Q8!L35</f>
        <v>5.1959799999999996</v>
      </c>
      <c r="M30" s="200">
        <f>+[2]D_Est_Org_Q8!M35</f>
        <v>115.92148</v>
      </c>
      <c r="N30" s="200">
        <f>+[2]D_Est_Org_Q8!N35</f>
        <v>3111.3876100000002</v>
      </c>
    </row>
    <row r="31" spans="2:14" ht="15" customHeight="1">
      <c r="C31" s="201" t="str">
        <f>IF(Índice!$D$2=1,"Administração Central","Central Administration")</f>
        <v>Central Administration</v>
      </c>
      <c r="D31" s="198">
        <f>+[2]D_Est_Org_Q8!D36</f>
        <v>0</v>
      </c>
      <c r="E31" s="198">
        <f>+[2]D_Est_Org_Q8!E36</f>
        <v>0</v>
      </c>
      <c r="F31" s="198">
        <f>+[2]D_Est_Org_Q8!F36</f>
        <v>0</v>
      </c>
      <c r="G31" s="198">
        <f>+[2]D_Est_Org_Q8!G36</f>
        <v>0</v>
      </c>
      <c r="H31" s="198">
        <f>+[2]D_Est_Org_Q8!H36</f>
        <v>0</v>
      </c>
      <c r="I31" s="198">
        <f>+[2]D_Est_Org_Q8!I36</f>
        <v>0</v>
      </c>
      <c r="J31" s="198">
        <f>+[2]D_Est_Org_Q8!J36</f>
        <v>0</v>
      </c>
      <c r="K31" s="198">
        <f>+[2]D_Est_Org_Q8!K36</f>
        <v>796.89015000000006</v>
      </c>
      <c r="L31" s="198">
        <f>+[2]D_Est_Org_Q8!L36</f>
        <v>0</v>
      </c>
      <c r="M31" s="198">
        <f>+[2]D_Est_Org_Q8!M36</f>
        <v>0</v>
      </c>
      <c r="N31" s="198">
        <f>+[2]D_Est_Org_Q8!N36</f>
        <v>796.89015000000006</v>
      </c>
    </row>
    <row r="32" spans="2:14" ht="15" customHeight="1">
      <c r="C32" s="201" t="str">
        <f>IF(Índice!$D$2=1,"Administração Regional","Regional Administration")</f>
        <v>Regional Administration</v>
      </c>
      <c r="D32" s="198">
        <f>+[2]D_Est_Org_Q8!D37</f>
        <v>50</v>
      </c>
      <c r="E32" s="198">
        <f>+[2]D_Est_Org_Q8!E37</f>
        <v>0</v>
      </c>
      <c r="F32" s="198">
        <f>+[2]D_Est_Org_Q8!F37</f>
        <v>0</v>
      </c>
      <c r="G32" s="198">
        <f>+[2]D_Est_Org_Q8!G37</f>
        <v>32.977829999999997</v>
      </c>
      <c r="H32" s="198">
        <f>+[2]D_Est_Org_Q8!H37</f>
        <v>251.87322</v>
      </c>
      <c r="I32" s="198">
        <f>+[2]D_Est_Org_Q8!I37</f>
        <v>922.00301999999999</v>
      </c>
      <c r="J32" s="198">
        <f>+[2]D_Est_Org_Q8!J37</f>
        <v>935.04993000000002</v>
      </c>
      <c r="K32" s="198">
        <f>+[2]D_Est_Org_Q8!K37</f>
        <v>1.476</v>
      </c>
      <c r="L32" s="198">
        <f>+[2]D_Est_Org_Q8!L37</f>
        <v>5.1959799999999996</v>
      </c>
      <c r="M32" s="198">
        <f>+[2]D_Est_Org_Q8!M37</f>
        <v>115.92148</v>
      </c>
      <c r="N32" s="198">
        <f>+[2]D_Est_Org_Q8!N37</f>
        <v>2314.49746</v>
      </c>
    </row>
    <row r="33" spans="1:169" ht="15" customHeight="1">
      <c r="C33" s="201" t="str">
        <f>IF(Índice!$D$2=1,"Administração Local","Local Administration")</f>
        <v>Local Administration</v>
      </c>
      <c r="D33" s="198">
        <f>+[2]D_Est_Org_Q8!D38</f>
        <v>0</v>
      </c>
      <c r="E33" s="198">
        <f>+[2]D_Est_Org_Q8!E38</f>
        <v>0</v>
      </c>
      <c r="F33" s="198">
        <f>+[2]D_Est_Org_Q8!F38</f>
        <v>0</v>
      </c>
      <c r="G33" s="198">
        <f>+[2]D_Est_Org_Q8!G38</f>
        <v>0</v>
      </c>
      <c r="H33" s="198">
        <f>+[2]D_Est_Org_Q8!H38</f>
        <v>0</v>
      </c>
      <c r="I33" s="198">
        <f>+[2]D_Est_Org_Q8!I38</f>
        <v>0</v>
      </c>
      <c r="J33" s="198">
        <f>+[2]D_Est_Org_Q8!J38</f>
        <v>0</v>
      </c>
      <c r="K33" s="198">
        <f>+[2]D_Est_Org_Q8!K38</f>
        <v>0</v>
      </c>
      <c r="L33" s="198">
        <f>+[2]D_Est_Org_Q8!L38</f>
        <v>0</v>
      </c>
      <c r="M33" s="198">
        <f>+[2]D_Est_Org_Q8!M38</f>
        <v>0</v>
      </c>
      <c r="N33" s="198">
        <f>+[2]D_Est_Org_Q8!N38</f>
        <v>0</v>
      </c>
    </row>
    <row r="34" spans="1:169" ht="15" customHeight="1">
      <c r="C34" s="201" t="str">
        <f>+IF(Índice!$D$2=1,"Segurança social","Social security")</f>
        <v>Social security</v>
      </c>
      <c r="D34" s="198">
        <f>+[2]D_Est_Org_Q8!D39</f>
        <v>0</v>
      </c>
      <c r="E34" s="198">
        <f>+[2]D_Est_Org_Q8!E39</f>
        <v>0</v>
      </c>
      <c r="F34" s="198">
        <f>+[2]D_Est_Org_Q8!F39</f>
        <v>0</v>
      </c>
      <c r="G34" s="198">
        <f>+[2]D_Est_Org_Q8!G39</f>
        <v>0</v>
      </c>
      <c r="H34" s="198">
        <f>+[2]D_Est_Org_Q8!H39</f>
        <v>0</v>
      </c>
      <c r="I34" s="198">
        <f>+[2]D_Est_Org_Q8!I39</f>
        <v>0</v>
      </c>
      <c r="J34" s="198">
        <f>+[2]D_Est_Org_Q8!J39</f>
        <v>0</v>
      </c>
      <c r="K34" s="198">
        <f>+[2]D_Est_Org_Q8!K39</f>
        <v>0</v>
      </c>
      <c r="L34" s="198">
        <f>+[2]D_Est_Org_Q8!L39</f>
        <v>0</v>
      </c>
      <c r="M34" s="198">
        <f>+[2]D_Est_Org_Q8!M39</f>
        <v>0</v>
      </c>
      <c r="N34" s="198">
        <f>+[2]D_Est_Org_Q8!N39</f>
        <v>0</v>
      </c>
    </row>
    <row r="35" spans="1:169" ht="15" customHeight="1">
      <c r="C35" s="109" t="str">
        <f>+IF(Índice!$D$2=1,"Outras transferências de capital","Other capital transfers")</f>
        <v>Other capital transfers</v>
      </c>
      <c r="D35" s="200">
        <f>+[2]D_Est_Org_Q8!D40</f>
        <v>0</v>
      </c>
      <c r="E35" s="200">
        <f>+[2]D_Est_Org_Q8!E40</f>
        <v>0</v>
      </c>
      <c r="F35" s="200">
        <f>+[2]D_Est_Org_Q8!F40</f>
        <v>0</v>
      </c>
      <c r="G35" s="200">
        <f>+[2]D_Est_Org_Q8!G40</f>
        <v>34.977470000000004</v>
      </c>
      <c r="H35" s="200">
        <f>+[2]D_Est_Org_Q8!H40</f>
        <v>0</v>
      </c>
      <c r="I35" s="200">
        <f>+[2]D_Est_Org_Q8!I40</f>
        <v>0</v>
      </c>
      <c r="J35" s="200">
        <f>+[2]D_Est_Org_Q8!J40</f>
        <v>0</v>
      </c>
      <c r="K35" s="200">
        <f>+[2]D_Est_Org_Q8!K40</f>
        <v>0</v>
      </c>
      <c r="L35" s="200">
        <f>+[2]D_Est_Org_Q8!L40</f>
        <v>6641.0209300000006</v>
      </c>
      <c r="M35" s="200">
        <f>+[2]D_Est_Org_Q8!M40</f>
        <v>0</v>
      </c>
      <c r="N35" s="200">
        <f>+[2]D_Est_Org_Q8!N40</f>
        <v>6675.9984000000004</v>
      </c>
    </row>
    <row r="36" spans="1:169" ht="15" customHeight="1">
      <c r="C36" s="132" t="s">
        <v>10</v>
      </c>
      <c r="D36" s="203">
        <f>+[2]D_Est_Org_Q8!D46</f>
        <v>0</v>
      </c>
      <c r="E36" s="203">
        <f>+[2]D_Est_Org_Q8!E46</f>
        <v>0</v>
      </c>
      <c r="F36" s="203">
        <f>+[2]D_Est_Org_Q8!F46</f>
        <v>0</v>
      </c>
      <c r="G36" s="203">
        <f>+[2]D_Est_Org_Q8!G46</f>
        <v>0</v>
      </c>
      <c r="H36" s="203">
        <f>+[2]D_Est_Org_Q8!H46</f>
        <v>0</v>
      </c>
      <c r="I36" s="203">
        <f>+[2]D_Est_Org_Q8!I46</f>
        <v>0</v>
      </c>
      <c r="J36" s="203">
        <f>+[2]D_Est_Org_Q8!J46</f>
        <v>0</v>
      </c>
      <c r="K36" s="203">
        <f>+[2]D_Est_Org_Q8!K46</f>
        <v>0</v>
      </c>
      <c r="L36" s="203">
        <f>+[2]D_Est_Org_Q8!L46</f>
        <v>0</v>
      </c>
      <c r="M36" s="203">
        <f>+[2]D_Est_Org_Q8!M46</f>
        <v>0</v>
      </c>
      <c r="N36" s="203">
        <f>+[2]D_Est_Org_Q8!N46</f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f>+[2]D_Est_Org_Q8!D48</f>
        <v>3390</v>
      </c>
      <c r="E38" s="204">
        <f>+[2]D_Est_Org_Q8!E48</f>
        <v>543.82567000000006</v>
      </c>
      <c r="F38" s="204">
        <f>+[2]D_Est_Org_Q8!F48</f>
        <v>8365.4855299999981</v>
      </c>
      <c r="G38" s="204">
        <f>+[2]D_Est_Org_Q8!G48</f>
        <v>110799.02105000005</v>
      </c>
      <c r="H38" s="204">
        <f>+[2]D_Est_Org_Q8!H48</f>
        <v>4535.9032000000007</v>
      </c>
      <c r="I38" s="204">
        <f>+[2]D_Est_Org_Q8!I48</f>
        <v>95728.643549999993</v>
      </c>
      <c r="J38" s="204">
        <f>+[2]D_Est_Org_Q8!J48</f>
        <v>51720.470810000013</v>
      </c>
      <c r="K38" s="204">
        <f>+[2]D_Est_Org_Q8!K48</f>
        <v>7833.0958499999997</v>
      </c>
      <c r="L38" s="204">
        <f>+[2]D_Est_Org_Q8!L48</f>
        <v>12563.636460000002</v>
      </c>
      <c r="M38" s="204">
        <f>+[2]D_Est_Org_Q8!M48</f>
        <v>49660.149660000003</v>
      </c>
      <c r="N38" s="204">
        <f>+[2]D_Est_Org_Q8!N48</f>
        <v>345140.23178000003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Financial assets</v>
      </c>
      <c r="D40" s="208">
        <f>+[2]D_Est_Org_Q8!D50</f>
        <v>0</v>
      </c>
      <c r="E40" s="208">
        <f>+[2]D_Est_Org_Q8!E50</f>
        <v>0</v>
      </c>
      <c r="F40" s="208">
        <f>+[2]D_Est_Org_Q8!F50</f>
        <v>0</v>
      </c>
      <c r="G40" s="208">
        <f>+[2]D_Est_Org_Q8!G50</f>
        <v>0</v>
      </c>
      <c r="H40" s="208">
        <f>+[2]D_Est_Org_Q8!H50</f>
        <v>0</v>
      </c>
      <c r="I40" s="208">
        <f>+[2]D_Est_Org_Q8!I50</f>
        <v>0</v>
      </c>
      <c r="J40" s="208">
        <f>+[2]D_Est_Org_Q8!J50</f>
        <v>0</v>
      </c>
      <c r="K40" s="208">
        <f>+[2]D_Est_Org_Q8!K50</f>
        <v>0</v>
      </c>
      <c r="L40" s="208">
        <f>+[2]D_Est_Org_Q8!L50</f>
        <v>0</v>
      </c>
      <c r="M40" s="208">
        <f>+[2]D_Est_Org_Q8!M50</f>
        <v>0</v>
      </c>
      <c r="N40" s="208">
        <f>+[2]D_Est_Org_Q8!N50</f>
        <v>0</v>
      </c>
    </row>
    <row r="41" spans="1:169">
      <c r="C41" s="209" t="str">
        <f>+IF(Índice!$D$2=1,"Passivos financeiros","Financial liabilities")</f>
        <v>Financial liabilities</v>
      </c>
      <c r="D41" s="200">
        <f>+[2]D_Est_Org_Q8!D51</f>
        <v>0</v>
      </c>
      <c r="E41" s="200">
        <f>+[2]D_Est_Org_Q8!E51</f>
        <v>0</v>
      </c>
      <c r="F41" s="200">
        <f>+[2]D_Est_Org_Q8!F51</f>
        <v>0</v>
      </c>
      <c r="G41" s="200">
        <f>+[2]D_Est_Org_Q8!G51</f>
        <v>0</v>
      </c>
      <c r="H41" s="200">
        <f>+[2]D_Est_Org_Q8!H51</f>
        <v>0</v>
      </c>
      <c r="I41" s="200">
        <f>+[2]D_Est_Org_Q8!I51</f>
        <v>0</v>
      </c>
      <c r="J41" s="200">
        <f>+[2]D_Est_Org_Q8!J51</f>
        <v>47617.826910000003</v>
      </c>
      <c r="K41" s="200">
        <f>+[2]D_Est_Org_Q8!K51</f>
        <v>0</v>
      </c>
      <c r="L41" s="200">
        <f>+[2]D_Est_Org_Q8!L51</f>
        <v>0</v>
      </c>
      <c r="M41" s="200">
        <f>+[2]D_Est_Org_Q8!M51</f>
        <v>0</v>
      </c>
      <c r="N41" s="200">
        <f>+[2]D_Est_Org_Q8!N51</f>
        <v>47617.826910000003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Extra-budgetary operations</v>
      </c>
      <c r="D44" s="213">
        <f>+[2]D_Est_Org_Q8!D54</f>
        <v>0</v>
      </c>
      <c r="E44" s="213">
        <f>+[2]D_Est_Org_Q8!E54</f>
        <v>0</v>
      </c>
      <c r="F44" s="213">
        <f>+[2]D_Est_Org_Q8!F54</f>
        <v>0</v>
      </c>
      <c r="G44" s="213">
        <f>+[2]D_Est_Org_Q8!G54</f>
        <v>0</v>
      </c>
      <c r="H44" s="213">
        <f>+[2]D_Est_Org_Q8!H54</f>
        <v>0</v>
      </c>
      <c r="I44" s="213">
        <f>+[2]D_Est_Org_Q8!I54</f>
        <v>0</v>
      </c>
      <c r="J44" s="213">
        <f>+[2]D_Est_Org_Q8!J54</f>
        <v>0</v>
      </c>
      <c r="K44" s="213">
        <f>+[2]D_Est_Org_Q8!K54</f>
        <v>0</v>
      </c>
      <c r="L44" s="213">
        <f>+[2]D_Est_Org_Q8!L54</f>
        <v>0</v>
      </c>
      <c r="M44" s="213">
        <f>+[2]D_Est_Org_Q8!M54</f>
        <v>0</v>
      </c>
      <c r="N44" s="213">
        <f>+[2]D_Est_Org_Q8!N54</f>
        <v>38065.895100000002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3" t="str">
        <f>+IF(Índice!$D$2=1,"Fonte: Secretaria Regional das Finanças","Source: Regional Finance Secretariat")</f>
        <v>Source: Regional Finance Secretariat</v>
      </c>
      <c r="D46" s="333" t="str">
        <f>+IF(Índice!$D$2="PT","Fonte: Vice-Presidência do Governo Regional","Source: Vice-Presidency of the Regional Government")</f>
        <v>Source: Vice-Presidency of the Regional Government</v>
      </c>
      <c r="E46" s="333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B2" sqref="B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(janeiro-março)","TABLE IX - RPEs global balance (january-march)")</f>
        <v>TABLE IX - RPEs global balance (january-march)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f>+'[2]Saldo_Global EPR_Q9'!C3</f>
        <v>2025</v>
      </c>
      <c r="E3" s="173">
        <f>+'[2]Saldo_Global EPR_Q9'!D3</f>
        <v>2026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f>+'[2]Saldo_Global EPR_Q9'!C5</f>
        <v>3061.2364699999162</v>
      </c>
      <c r="E5" s="82">
        <f>+'[2]Saldo_Global EPR_Q9'!D5</f>
        <v>6787.6078100000013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Source: Regional Finance Secretariat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(janeiro-março)","TABLE X - ASFs and RPEs budget execution (january-march)")</f>
        <v>TABLE X - ASFs and RPEs budget execution (january-march)</v>
      </c>
      <c r="D2" s="335"/>
      <c r="E2" s="335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f>+'[2]SFA acumulado_Q10_11'!D84</f>
        <v>4686.5359399999725</v>
      </c>
      <c r="E4" s="98">
        <f>+'[2]SFA acumulado_Q10_11'!E84</f>
        <v>6787.6078100000013</v>
      </c>
      <c r="F4" s="98">
        <f>+'[2]SFA acumulado_Q10_11'!F84</f>
        <v>11474.143749999974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f>+'[2]SFA acumulado_Q10_11'!D87</f>
        <v>156788.61645999999</v>
      </c>
      <c r="E7" s="74">
        <f>+'[2]SFA acumulado_Q10_11'!E87</f>
        <v>117547.05165000001</v>
      </c>
      <c r="F7" s="74">
        <f>+'[2]SFA acumulado_Q10_11'!F87</f>
        <v>274335.66810999997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f>+'[2]SFA acumulado_Q10_11'!D88</f>
        <v>4749.3671999999724</v>
      </c>
      <c r="E8" s="74">
        <f>+'[2]SFA acumulado_Q10_11'!E88</f>
        <v>6878.1308500000014</v>
      </c>
      <c r="F8" s="74">
        <f>+'[2]SFA acumulado_Q10_11'!F88</f>
        <v>11627.498049999975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f>+'[2]SFA acumulado_Q10_11'!D89</f>
        <v>4409.2371799999673</v>
      </c>
      <c r="E9" s="74">
        <f>+'[2]SFA acumulado_Q10_11'!E89</f>
        <v>6329.8323400000081</v>
      </c>
      <c r="F9" s="74">
        <f>+'[2]SFA acumulado_Q10_11'!F89</f>
        <v>10739.069520000019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f>+'[2]SFA acumulado_Q10_11'!D90</f>
        <v>277.29875999999967</v>
      </c>
      <c r="E10" s="74">
        <f>+'[2]SFA acumulado_Q10_11'!E90</f>
        <v>457.7754700000005</v>
      </c>
      <c r="F10" s="74">
        <f>+'[2]SFA acumulado_Q10_11'!F90</f>
        <v>735.07423000000017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Source: Regional Finance Secretariat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(janeiro-março)","TABLE XI - ASFs and RPEs budget execution (january-march)")</f>
        <v>TABLE XI - ASFs and RPEs budget execution (january-march)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f>+'[2]SFA acumulado_Q10_11'!D7</f>
        <v>157365.37875999996</v>
      </c>
      <c r="E4" s="108">
        <f>+'[2]SFA acumulado_Q10_11'!E7</f>
        <v>118500.28975000001</v>
      </c>
      <c r="F4" s="108">
        <f>+'[2]SFA acumulado_Q10_11'!F7</f>
        <v>275865.66850999999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f>+'[2]SFA acumulado_Q10_11'!D8</f>
        <v>0</v>
      </c>
      <c r="E5" s="74">
        <f>+'[2]SFA acumulado_Q10_11'!E8</f>
        <v>0</v>
      </c>
      <c r="F5" s="74">
        <f>+'[2]SFA acumulado_Q10_11'!F8</f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f>+'[2]SFA acumulado_Q10_11'!D9</f>
        <v>0</v>
      </c>
      <c r="E6" s="74">
        <f>+'[2]SFA acumulado_Q10_11'!E9</f>
        <v>0</v>
      </c>
      <c r="F6" s="74">
        <f>+'[2]SFA acumulado_Q10_11'!F9</f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f>+'[2]SFA acumulado_Q10_11'!D10</f>
        <v>0</v>
      </c>
      <c r="E7" s="74">
        <f>+'[2]SFA acumulado_Q10_11'!E10</f>
        <v>0</v>
      </c>
      <c r="F7" s="74">
        <f>+'[2]SFA acumulado_Q10_11'!F10</f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f>+'[2]SFA acumulado_Q10_11'!D11</f>
        <v>2780.5437000000002</v>
      </c>
      <c r="E8" s="74">
        <f>+'[2]SFA acumulado_Q10_11'!E11</f>
        <v>3645.3909700000004</v>
      </c>
      <c r="F8" s="74">
        <f>+'[2]SFA acumulado_Q10_11'!F11</f>
        <v>6425.9346700000006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f>+'[2]SFA acumulado_Q10_11'!D12</f>
        <v>152602.62998999996</v>
      </c>
      <c r="E9" s="74">
        <f>+'[2]SFA acumulado_Q10_11'!E12</f>
        <v>106026.90573</v>
      </c>
      <c r="F9" s="74">
        <f>+'[2]SFA acumulado_Q10_11'!F12</f>
        <v>258629.53571999996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f>+'[2]SFA acumulado_Q10_11'!D13</f>
        <v>8955.8008900000023</v>
      </c>
      <c r="E10" s="74">
        <f>+'[2]SFA acumulado_Q10_11'!E13</f>
        <v>1081.6647800000001</v>
      </c>
      <c r="F10" s="74">
        <f>+'[2]SFA acumulado_Q10_11'!F13</f>
        <v>10037.465670000001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f>+'[2]SFA acumulado_Q10_11'!D14</f>
        <v>143149.76083999994</v>
      </c>
      <c r="E11" s="74">
        <f>+'[2]SFA acumulado_Q10_11'!E14</f>
        <v>104945.24094999999</v>
      </c>
      <c r="F11" s="74">
        <f>+'[2]SFA acumulado_Q10_11'!F14</f>
        <v>248095.00178999995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f>+'[2]SFA acumulado_Q10_11'!D15</f>
        <v>1575.7582699999998</v>
      </c>
      <c r="E12" s="74">
        <f>+'[2]SFA acumulado_Q10_11'!E15</f>
        <v>3406.4204399999999</v>
      </c>
      <c r="F12" s="74">
        <f>+'[2]SFA acumulado_Q10_11'!F15</f>
        <v>4982.1787100000001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f>+'[2]SFA acumulado_Q10_11'!D16</f>
        <v>406.4468</v>
      </c>
      <c r="E13" s="74">
        <f>+'[2]SFA acumulado_Q10_11'!E16</f>
        <v>5421.5726100000002</v>
      </c>
      <c r="F13" s="74">
        <f>+'[2]SFA acumulado_Q10_11'!F16</f>
        <v>5828.0194099999999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f>+'[2]SFA acumulado_Q10_11'!D17</f>
        <v>4172.6048999999994</v>
      </c>
      <c r="E14" s="83">
        <f>+'[2]SFA acumulado_Q10_11'!E17</f>
        <v>5924.89275</v>
      </c>
      <c r="F14" s="83">
        <f>+'[2]SFA acumulado_Q10_11'!F17</f>
        <v>10097.497649999999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f>+'[2]SFA acumulado_Q10_11'!D18</f>
        <v>0</v>
      </c>
      <c r="E15" s="34">
        <f>+'[2]SFA acumulado_Q10_11'!E18</f>
        <v>18.527999999999999</v>
      </c>
      <c r="F15" s="34">
        <f>+'[2]SFA acumulado_Q10_11'!F18</f>
        <v>18.527999999999999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f>+'[2]SFA acumulado_Q10_11'!D19</f>
        <v>4150.5823099999998</v>
      </c>
      <c r="E16" s="34">
        <f>+'[2]SFA acumulado_Q10_11'!E19</f>
        <v>5894.9814399999996</v>
      </c>
      <c r="F16" s="74">
        <f>+'[2]SFA acumulado_Q10_11'!F19</f>
        <v>10045.563749999999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f>+'[2]SFA acumulado_Q10_11'!D20</f>
        <v>2999.7707300000002</v>
      </c>
      <c r="E17" s="34">
        <f>+'[2]SFA acumulado_Q10_11'!E20</f>
        <v>4247.3032899999989</v>
      </c>
      <c r="F17" s="74">
        <f>+'[2]SFA acumulado_Q10_11'!F20</f>
        <v>7247.0740199999991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f>+'[2]SFA acumulado_Q10_11'!D21</f>
        <v>1150.8115799999996</v>
      </c>
      <c r="E18" s="74">
        <f>+'[2]SFA acumulado_Q10_11'!E21</f>
        <v>1647.6781500000006</v>
      </c>
      <c r="F18" s="74">
        <f>+'[2]SFA acumulado_Q10_11'!F21</f>
        <v>2798.4897300000002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f>+'[2]SFA acumulado_Q10_11'!D22</f>
        <v>0</v>
      </c>
      <c r="E19" s="74">
        <f>+'[2]SFA acumulado_Q10_11'!E22</f>
        <v>3.7193299999999998</v>
      </c>
      <c r="F19" s="74">
        <f>+'[2]SFA acumulado_Q10_11'!F22</f>
        <v>3.7193299999999998</v>
      </c>
    </row>
    <row r="20" spans="2:6" ht="11.25" customHeight="1">
      <c r="C20" s="110" t="str">
        <f>+IF(Índice!$D$2=1,"Receita efetiva","Effective revenue")</f>
        <v>Effective revenue</v>
      </c>
      <c r="D20" s="83">
        <f>+'[2]SFA acumulado_Q10_11'!D32</f>
        <v>161537.98365999997</v>
      </c>
      <c r="E20" s="83">
        <f>+'[2]SFA acumulado_Q10_11'!E32</f>
        <v>124425.18250000001</v>
      </c>
      <c r="F20" s="83">
        <f>+'[2]SFA acumulado_Q10_11'!F32</f>
        <v>285963.16615999996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f>+'[2]SFA acumulado_Q10_11'!D34</f>
        <v>152956.14158</v>
      </c>
      <c r="E22" s="83">
        <f>+'[2]SFA acumulado_Q10_11'!E34</f>
        <v>112170.45741</v>
      </c>
      <c r="F22" s="83">
        <f>+'[2]SFA acumulado_Q10_11'!F34</f>
        <v>265126.59898999997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f>+'[2]SFA acumulado_Q10_11'!D35</f>
        <v>15146.107900000003</v>
      </c>
      <c r="E23" s="74">
        <f>+'[2]SFA acumulado_Q10_11'!E35</f>
        <v>76495.83974000001</v>
      </c>
      <c r="F23" s="74">
        <f>+'[2]SFA acumulado_Q10_11'!F35</f>
        <v>91641.947640000013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f>+'[2]SFA acumulado_Q10_11'!D36</f>
        <v>21895.342340000003</v>
      </c>
      <c r="E24" s="74">
        <f>+'[2]SFA acumulado_Q10_11'!E36</f>
        <v>31558.203419999991</v>
      </c>
      <c r="F24" s="74">
        <f>+'[2]SFA acumulado_Q10_11'!F36</f>
        <v>53453.545759999994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f>+'[2]SFA acumulado_Q10_11'!D37</f>
        <v>62.83126</v>
      </c>
      <c r="E25" s="74">
        <f>+'[2]SFA acumulado_Q10_11'!E37</f>
        <v>90.523039999999995</v>
      </c>
      <c r="F25" s="74">
        <f>+'[2]SFA acumulado_Q10_11'!F37</f>
        <v>153.35429999999999</v>
      </c>
    </row>
    <row r="26" spans="2:6" ht="11.25" customHeight="1">
      <c r="C26" s="104" t="str">
        <f>+IF(Índice!$D$2=1,"Transferências correntes","Current transfers")</f>
        <v>Current transfers</v>
      </c>
      <c r="D26" s="74">
        <f>+'[2]SFA acumulado_Q10_11'!D38</f>
        <v>108023.39376000001</v>
      </c>
      <c r="E26" s="74">
        <f>+'[2]SFA acumulado_Q10_11'!E38</f>
        <v>3696.5428299999999</v>
      </c>
      <c r="F26" s="74">
        <f>+'[2]SFA acumulado_Q10_11'!F38</f>
        <v>111719.93659000001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f>+'[2]SFA acumulado_Q10_11'!D39</f>
        <v>905.87963000000013</v>
      </c>
      <c r="E27" s="74">
        <f>+'[2]SFA acumulado_Q10_11'!E39</f>
        <v>0</v>
      </c>
      <c r="F27" s="59">
        <f>+'[2]SFA acumulado_Q10_11'!F39</f>
        <v>905.87963000000013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f>+'[2]SFA acumulado_Q10_11'!D40</f>
        <v>107117.51413000001</v>
      </c>
      <c r="E28" s="74">
        <f>+'[2]SFA acumulado_Q10_11'!E40</f>
        <v>3696.5428299999999</v>
      </c>
      <c r="F28" s="59">
        <f>+'[2]SFA acumulado_Q10_11'!F40</f>
        <v>110814.05696000002</v>
      </c>
    </row>
    <row r="29" spans="2:6" ht="11.25" customHeight="1">
      <c r="C29" s="104" t="str">
        <f>+IF(Índice!$D$2=1,"Subsídios","Subsidies")</f>
        <v>Subsidies</v>
      </c>
      <c r="D29" s="74">
        <f>+'[2]SFA acumulado_Q10_11'!D41</f>
        <v>7818.1990300000007</v>
      </c>
      <c r="E29" s="74">
        <f>+'[2]SFA acumulado_Q10_11'!E41</f>
        <v>0</v>
      </c>
      <c r="F29" s="74">
        <f>+'[2]SFA acumulado_Q10_11'!F41</f>
        <v>7818.1990300000007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f>+'[2]SFA acumulado_Q10_11'!D42</f>
        <v>10.267290000000001</v>
      </c>
      <c r="E30" s="74">
        <f>+'[2]SFA acumulado_Q10_11'!E42</f>
        <v>329.34838000000002</v>
      </c>
      <c r="F30" s="74">
        <f>+'[2]SFA acumulado_Q10_11'!F42</f>
        <v>339.61567000000002</v>
      </c>
    </row>
    <row r="31" spans="2:6" ht="11.25" customHeight="1">
      <c r="C31" s="110" t="str">
        <f>+IF(Índice!$D$2=1,"Despesa de capital","Capital expenditure")</f>
        <v>Capital expenditure</v>
      </c>
      <c r="D31" s="83">
        <f>+'[2]SFA acumulado_Q10_11'!D43</f>
        <v>3895.3061399999997</v>
      </c>
      <c r="E31" s="83">
        <f>+'[2]SFA acumulado_Q10_11'!E43</f>
        <v>5467.1172799999995</v>
      </c>
      <c r="F31" s="83">
        <f>+'[2]SFA acumulado_Q10_11'!F43</f>
        <v>9362.4234199999992</v>
      </c>
    </row>
    <row r="32" spans="2:6" ht="11.25" customHeight="1">
      <c r="C32" s="104" t="str">
        <f>+IF(Índice!$D$2=1,"Investimento","Investment")</f>
        <v>Investment</v>
      </c>
      <c r="D32" s="74">
        <f>+'[2]SFA acumulado_Q10_11'!D44</f>
        <v>278.00774999999999</v>
      </c>
      <c r="E32" s="74">
        <f>+'[2]SFA acumulado_Q10_11'!E44</f>
        <v>5218.9161699999995</v>
      </c>
      <c r="F32" s="74">
        <f>+'[2]SFA acumulado_Q10_11'!F44</f>
        <v>5496.9239199999993</v>
      </c>
    </row>
    <row r="33" spans="3:6" ht="11.25" customHeight="1">
      <c r="C33" s="104" t="str">
        <f>+IF(Índice!$D$2=1,"Transferências capital","Capital transfers")</f>
        <v>Capital transfers</v>
      </c>
      <c r="D33" s="74">
        <f>+'[2]SFA acumulado_Q10_11'!D45</f>
        <v>3617.2983899999999</v>
      </c>
      <c r="E33" s="74">
        <f>+'[2]SFA acumulado_Q10_11'!E45</f>
        <v>248.20111000000003</v>
      </c>
      <c r="F33" s="74">
        <f>+'[2]SFA acumulado_Q10_11'!F45</f>
        <v>3865.4994999999999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f>+'[2]SFA acumulado_Q10_11'!D46</f>
        <v>0</v>
      </c>
      <c r="E34" s="59">
        <f>+'[2]SFA acumulado_Q10_11'!E46</f>
        <v>0</v>
      </c>
      <c r="F34" s="59">
        <f>+'[2]SFA acumulado_Q10_11'!F46</f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f>+'[2]SFA acumulado_Q10_11'!D48</f>
        <v>156851.44772</v>
      </c>
      <c r="E36" s="83">
        <f>+'[2]SFA acumulado_Q10_11'!E48</f>
        <v>117637.57469000001</v>
      </c>
      <c r="F36" s="83">
        <f>+'[2]SFA acumulado_Q10_11'!F48</f>
        <v>274489.02240999998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f>+'[2]SFA acumulado_Q10_11'!D50</f>
        <v>1206.51757</v>
      </c>
      <c r="E38" s="35">
        <f>+'[2]SFA acumulado_Q10_11'!E50</f>
        <v>23.999479999999998</v>
      </c>
      <c r="F38" s="35">
        <f>+'[2]SFA acumulado_Q10_11'!F50</f>
        <v>1230.5170499999999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f>+'[2]SFA acumulado_Q10_11'!D51</f>
        <v>0</v>
      </c>
      <c r="E39" s="35">
        <f>+'[2]SFA acumulado_Q10_11'!E51</f>
        <v>157.71439000000001</v>
      </c>
      <c r="F39" s="35">
        <f>+'[2]SFA acumulado_Q10_11'!F51</f>
        <v>157.71439000000001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f>+'[2]SFA acumulado_Q10_11'!D52</f>
        <v>0</v>
      </c>
      <c r="E40" s="35">
        <f>+'[2]SFA acumulado_Q10_11'!E52</f>
        <v>0</v>
      </c>
      <c r="F40" s="35">
        <f>+'[2]SFA acumulado_Q10_11'!F52</f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f>+'[2]SFA acumulado_Q10_11'!D56</f>
        <v>4686.5359399999725</v>
      </c>
      <c r="E44" s="114">
        <f>+'[2]SFA acumulado_Q10_11'!E56</f>
        <v>6787.6078100000013</v>
      </c>
      <c r="F44" s="114">
        <f>+'[2]SFA acumulado_Q10_11'!F56</f>
        <v>11474.143749999974</v>
      </c>
    </row>
    <row r="45" spans="3:6" ht="15" customHeight="1">
      <c r="C45" s="333" t="str">
        <f>+IF(Índice!$D$2=1,"Fonte: Secretaria Regional das Finanças","Source: Regional Finance Secretariat")</f>
        <v>Source: Regional Finance Secretariat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(março)","TABLE XII - ASFs and RPEs budget execution (march)")</f>
        <v>TABLE XII - ASFs and RPEs budget execution (march)</v>
      </c>
      <c r="D2" s="305"/>
      <c r="E2" s="305"/>
      <c r="F2" s="306" t="str">
        <f>+IF(Índice!$D$2=1,"€ Milhares","€ Thousands")</f>
        <v>€ Thousands</v>
      </c>
      <c r="H2" s="290" t="str">
        <f>+IF(Índice!$D$2=1,"índice","Index")</f>
        <v>Index</v>
      </c>
    </row>
    <row r="3" spans="2:8" ht="12.75">
      <c r="B3"/>
      <c r="C3" s="307"/>
      <c r="D3" s="308" t="str">
        <f>+IF(Índice!$D$2=1,"março 2026","february 2026")</f>
        <v>february 2026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ASF monthly execution</v>
      </c>
      <c r="E4" s="313" t="str">
        <f>+IF(Índice!$D$2=1,"EPR execução mensal","RPE monthly execution")</f>
        <v>RPE monthly execution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Current revenue</v>
      </c>
      <c r="D5" s="316">
        <f>+'[2]SFA+EPR mensal-acumulado_Q12'!D6</f>
        <v>66949.300349999932</v>
      </c>
      <c r="E5" s="316">
        <f>+'[2]SFA+EPR mensal-acumulado_Q12'!E6</f>
        <v>47037.470530000035</v>
      </c>
      <c r="F5" s="316">
        <f>+'[2]SFA+EPR mensal-acumulado_Q12'!F6</f>
        <v>113986.77087999997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f>+'[2]SFA+EPR mensal-acumulado_Q12'!D7</f>
        <v>0</v>
      </c>
      <c r="E6" s="74">
        <f>+'[2]SFA+EPR mensal-acumulado_Q12'!E7</f>
        <v>0</v>
      </c>
      <c r="F6" s="74">
        <f>+'[2]SFA+EPR mensal-acumulado_Q12'!F7</f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f>+'[2]SFA+EPR mensal-acumulado_Q12'!D8</f>
        <v>0</v>
      </c>
      <c r="E7" s="74">
        <f>+'[2]SFA+EPR mensal-acumulado_Q12'!E8</f>
        <v>0</v>
      </c>
      <c r="F7" s="74">
        <f>+'[2]SFA+EPR mensal-acumulado_Q12'!F8</f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f>+'[2]SFA+EPR mensal-acumulado_Q12'!D9</f>
        <v>0</v>
      </c>
      <c r="E8" s="74">
        <f>+'[2]SFA+EPR mensal-acumulado_Q12'!E9</f>
        <v>0</v>
      </c>
      <c r="F8" s="74">
        <f>+'[2]SFA+EPR mensal-acumulado_Q12'!F9</f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f>+'[2]SFA+EPR mensal-acumulado_Q12'!D10</f>
        <v>66949.300349999932</v>
      </c>
      <c r="E9" s="74">
        <f>+'[2]SFA+EPR mensal-acumulado_Q12'!E10</f>
        <v>47037.470530000035</v>
      </c>
      <c r="F9" s="74">
        <f>+'[2]SFA+EPR mensal-acumulado_Q12'!F10</f>
        <v>113986.77087999997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f>+'[2]SFA+EPR mensal-acumulado_Q12'!D11</f>
        <v>64731.885649999931</v>
      </c>
      <c r="E10" s="74">
        <f>+'[2]SFA+EPR mensal-acumulado_Q12'!E11</f>
        <v>42230.576770000029</v>
      </c>
      <c r="F10" s="74">
        <f>+'[2]SFA+EPR mensal-acumulado_Q12'!F11</f>
        <v>106962.46241999997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f>+'[2]SFA+EPR mensal-acumulado_Q12'!D12</f>
        <v>1415.7860500000002</v>
      </c>
      <c r="E11" s="83">
        <f>+'[2]SFA+EPR mensal-acumulado_Q12'!E12</f>
        <v>1638.148529999999</v>
      </c>
      <c r="F11" s="83">
        <f>+'[2]SFA+EPR mensal-acumulado_Q12'!F12</f>
        <v>3053.9345799999992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f>+'[2]SFA+EPR mensal-acumulado_Q12'!D13</f>
        <v>0</v>
      </c>
      <c r="E12" s="34">
        <f>+'[2]SFA+EPR mensal-acumulado_Q12'!E13</f>
        <v>0.2</v>
      </c>
      <c r="F12" s="34">
        <f>+'[2]SFA+EPR mensal-acumulado_Q12'!F13</f>
        <v>0.2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f>+'[2]SFA+EPR mensal-acumulado_Q12'!D14</f>
        <v>1414.0044900000003</v>
      </c>
      <c r="E13" s="34">
        <f>+'[2]SFA+EPR mensal-acumulado_Q12'!E14</f>
        <v>1636.6784599999989</v>
      </c>
      <c r="F13" s="74">
        <f>+'[2]SFA+EPR mensal-acumulado_Q12'!F14</f>
        <v>3050.6829499999994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f>+'[2]SFA+EPR mensal-acumulado_Q12'!D16</f>
        <v>68365.086399999927</v>
      </c>
      <c r="E15" s="83">
        <f>+'[2]SFA+EPR mensal-acumulado_Q12'!E16</f>
        <v>48675.619060000034</v>
      </c>
      <c r="F15" s="83">
        <f>+'[2]SFA+EPR mensal-acumulado_Q12'!F16</f>
        <v>117040.70545999997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f>+'[2]SFA+EPR mensal-acumulado_Q12'!D17</f>
        <v>65856.013690000051</v>
      </c>
      <c r="E17" s="83">
        <f>+'[2]SFA+EPR mensal-acumulado_Q12'!E17</f>
        <v>58818.761180000001</v>
      </c>
      <c r="F17" s="83">
        <f>+'[2]SFA+EPR mensal-acumulado_Q12'!F17</f>
        <v>124674.77487000005</v>
      </c>
    </row>
    <row r="18" spans="3:6" ht="11.25" customHeight="1">
      <c r="C18" s="104" t="str">
        <f>+IF(Índice!$D$2=1,"Consumo público","Public consumption")</f>
        <v>Public consumption</v>
      </c>
      <c r="D18" s="74">
        <f>+'[2]SFA+EPR mensal-acumulado_Q12'!D18</f>
        <v>19048.034470000017</v>
      </c>
      <c r="E18" s="74">
        <f>+'[2]SFA+EPR mensal-acumulado_Q12'!E18</f>
        <v>57406.569050000006</v>
      </c>
      <c r="F18" s="74">
        <f>+'[2]SFA+EPR mensal-acumulado_Q12'!F18</f>
        <v>76454.603520000019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f>+'[2]SFA+EPR mensal-acumulado_Q12'!D19</f>
        <v>6034.3410600000007</v>
      </c>
      <c r="E19" s="74">
        <f>+'[2]SFA+EPR mensal-acumulado_Q12'!E19</f>
        <v>33909.76761000001</v>
      </c>
      <c r="F19" s="74">
        <f>+'[2]SFA+EPR mensal-acumulado_Q12'!F19</f>
        <v>39944.108670000009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f>+'[2]SFA+EPR mensal-acumulado_Q12'!D20</f>
        <v>13013.693410000016</v>
      </c>
      <c r="E20" s="74">
        <f>+'[2]SFA+EPR mensal-acumulado_Q12'!E20</f>
        <v>23496.801439999999</v>
      </c>
      <c r="F20" s="74">
        <f>+'[2]SFA+EPR mensal-acumulado_Q12'!F20</f>
        <v>36510.494850000017</v>
      </c>
    </row>
    <row r="21" spans="3:6" ht="11.25" customHeight="1">
      <c r="C21" s="104" t="str">
        <f>+IF(Índice!$D$2=1,"Subsídios","Subsidies")</f>
        <v>Subsidies</v>
      </c>
      <c r="D21" s="74">
        <f>+'[2]SFA+EPR mensal-acumulado_Q12'!D21</f>
        <v>3790.3606800000007</v>
      </c>
      <c r="E21" s="74">
        <f>+'[2]SFA+EPR mensal-acumulado_Q12'!E21</f>
        <v>0</v>
      </c>
      <c r="F21" s="74">
        <f>+'[2]SFA+EPR mensal-acumulado_Q12'!F21</f>
        <v>3790.3606800000007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f>+'[2]SFA+EPR mensal-acumulado_Q12'!D22</f>
        <v>38.010779999999997</v>
      </c>
      <c r="E22" s="74">
        <f>+'[2]SFA+EPR mensal-acumulado_Q12'!E22</f>
        <v>89.076920000000001</v>
      </c>
      <c r="F22" s="59">
        <f>+'[2]SFA+EPR mensal-acumulado_Q12'!F22</f>
        <v>127.0877</v>
      </c>
    </row>
    <row r="23" spans="3:6" ht="11.25" customHeight="1">
      <c r="C23" s="109" t="str">
        <f>+IF(Índice!$D$2=1,"Transferências correntes","Current transfers")</f>
        <v>Current transfers</v>
      </c>
      <c r="D23" s="74">
        <f>+'[2]SFA+EPR mensal-acumulado_Q12'!D23</f>
        <v>42979.607760000028</v>
      </c>
      <c r="E23" s="74">
        <f>+'[2]SFA+EPR mensal-acumulado_Q12'!E23</f>
        <v>1323.1152099999999</v>
      </c>
      <c r="F23" s="59">
        <f>+'[2]SFA+EPR mensal-acumulado_Q12'!F23</f>
        <v>44302.722970000032</v>
      </c>
    </row>
    <row r="24" spans="3:6" ht="11.25" customHeight="1">
      <c r="C24" s="110" t="str">
        <f>+IF(Índice!$D$2=1,"Despesa de capital","Capital expenditure")</f>
        <v>Capital expenditure</v>
      </c>
      <c r="D24" s="83">
        <f>+'[2]SFA+EPR mensal-acumulado_Q12'!D24</f>
        <v>2014.723</v>
      </c>
      <c r="E24" s="83">
        <f>+'[2]SFA+EPR mensal-acumulado_Q12'!E24</f>
        <v>2386.1812199999999</v>
      </c>
      <c r="F24" s="83">
        <f>+'[2]SFA+EPR mensal-acumulado_Q12'!F24</f>
        <v>4400.9042200000004</v>
      </c>
    </row>
    <row r="25" spans="3:6" ht="11.25" customHeight="1">
      <c r="C25" s="104" t="str">
        <f>+IF(Índice!$D$2=1,"Investimento","Investment")</f>
        <v>Investment</v>
      </c>
      <c r="D25" s="74">
        <f>+'[2]SFA+EPR mensal-acumulado_Q12'!D25</f>
        <v>101.44895000000004</v>
      </c>
      <c r="E25" s="74">
        <f>+'[2]SFA+EPR mensal-acumulado_Q12'!E25</f>
        <v>2196.7401099999997</v>
      </c>
      <c r="F25" s="74">
        <f>+'[2]SFA+EPR mensal-acumulado_Q12'!F25</f>
        <v>2298.1890599999997</v>
      </c>
    </row>
    <row r="26" spans="3:6" ht="11.25" customHeight="1">
      <c r="C26" s="104" t="str">
        <f>+IF(Índice!$D$2=1,"Transferências capital","Capital transfers")</f>
        <v>Capital transfers</v>
      </c>
      <c r="D26" s="74">
        <f>+'[2]SFA+EPR mensal-acumulado_Q12'!D26</f>
        <v>1913.27405</v>
      </c>
      <c r="E26" s="74">
        <f>+'[2]SFA+EPR mensal-acumulado_Q12'!E26</f>
        <v>189.44111000000001</v>
      </c>
      <c r="F26" s="74">
        <f>+'[2]SFA+EPR mensal-acumulado_Q12'!F26</f>
        <v>2102.7151600000002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f>+'[2]SFA+EPR mensal-acumulado_Q12'!D27</f>
        <v>0</v>
      </c>
      <c r="E27" s="59">
        <f>+'[2]SFA+EPR mensal-acumulado_Q12'!E27</f>
        <v>0</v>
      </c>
      <c r="F27" s="59">
        <f>+'[2]SFA+EPR mensal-acumulado_Q12'!F27</f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f>+'[2]SFA+EPR mensal-acumulado_Q12'!D29</f>
        <v>67870.736690000049</v>
      </c>
      <c r="E29" s="83">
        <f>+'[2]SFA+EPR mensal-acumulado_Q12'!E29</f>
        <v>61204.9424</v>
      </c>
      <c r="F29" s="83">
        <f>+'[2]SFA+EPR mensal-acumulado_Q12'!F29</f>
        <v>129075.67909000005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Overall balance</v>
      </c>
      <c r="D31" s="318">
        <f>+'[2]SFA+EPR mensal-acumulado_Q12'!D31</f>
        <v>494.34970999987854</v>
      </c>
      <c r="E31" s="318">
        <f>+'[2]SFA+EPR mensal-acumulado_Q12'!E31</f>
        <v>-12529.323339999966</v>
      </c>
      <c r="F31" s="318">
        <f>+'[2]SFA+EPR mensal-acumulado_Q12'!F31</f>
        <v>-12034.973630000088</v>
      </c>
    </row>
    <row r="32" spans="3:6" ht="15" customHeight="1">
      <c r="C32" s="333" t="str">
        <f>+IF(Índice!$D$2=1,"Fonte: Secretaria Regional das Finanças","Source: Regional Finance Secretariat")</f>
        <v>Source: Regional Finance Secretariat</v>
      </c>
      <c r="D32" s="333"/>
      <c r="E32" s="333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26" zoomScale="120" zoomScaleNormal="120" zoomScaleSheetLayoutView="100" zoomScalePageLayoutView="150" workbookViewId="0">
      <selection activeCell="B41" sqref="B4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10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março de 2026 (valores acumulados)","Table XIII- Accounts payable of the Regional Administration, march (accumulated)")</f>
        <v>Table XIII- Accounts payable of the Regional Administration, march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9" t="s">
        <v>7</v>
      </c>
      <c r="D3" s="336" t="str">
        <f>+IF(Índice!$D$2=1,"março 2026","february 2026")</f>
        <v>february 2026</v>
      </c>
      <c r="E3" s="336" t="str">
        <f>+IF(Índice!$D$2="PT","janeiro 2020","January")</f>
        <v>January</v>
      </c>
      <c r="F3" s="336" t="str">
        <f>+IF(Índice!$D$2="PT","janeiro 2020","January")</f>
        <v>January</v>
      </c>
      <c r="G3" s="343" t="str">
        <f>+IF(Índice!$D$2=1,"Variação face ao stock inicial de janeiro","Change from period initial stock")</f>
        <v>Change from period initial stock</v>
      </c>
      <c r="H3" s="344"/>
      <c r="I3" s="344"/>
    </row>
    <row r="4" spans="2:11" ht="12.75" customHeight="1">
      <c r="C4" s="339"/>
      <c r="D4" s="351" t="str">
        <f>+IF(Índice!$D$2=1,"Stock final do período","Accumulated")</f>
        <v>Accumulated</v>
      </c>
      <c r="E4" s="351"/>
      <c r="F4" s="351"/>
      <c r="G4" s="348" t="str">
        <f>+IF(Índice!$D$2=1,"Passivo","Liabilities")</f>
        <v>Liabilities</v>
      </c>
      <c r="H4" s="348" t="str">
        <f>+IF(Índice!$D$2=1,"Contas a pagar","Accounts payable")</f>
        <v>Accounts payable</v>
      </c>
      <c r="I4" s="337" t="str">
        <f>+IF(Índice!$D$2=1,"Pagamentos em atraso","Late payments")</f>
        <v>Late payments</v>
      </c>
    </row>
    <row r="5" spans="2:11" ht="22.5">
      <c r="B5" s="29"/>
      <c r="C5" s="339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9"/>
      <c r="H5" s="349"/>
      <c r="I5" s="338"/>
    </row>
    <row r="6" spans="2:11">
      <c r="B6" s="29"/>
      <c r="C6" s="119" t="str">
        <f>+IF(Índice!$D$2=1,"Despesa corrente","Current expenditure")</f>
        <v>Current expenditure</v>
      </c>
      <c r="D6" s="162">
        <f>+[2]Compromissos_Q15_16_17_18!B29</f>
        <v>188785405.26000002</v>
      </c>
      <c r="E6" s="162">
        <f>+[2]Compromissos_Q15_16_17_18!C29</f>
        <v>179797557.39000002</v>
      </c>
      <c r="F6" s="162">
        <f>+[2]Compromissos_Q15_16_17_18!D29</f>
        <v>63566336.439999998</v>
      </c>
      <c r="G6" s="91">
        <f>+[2]Compromissos_Q15_16_17_18!E29</f>
        <v>0.13972633161253101</v>
      </c>
      <c r="H6" s="91">
        <f>+[2]Compromissos_Q15_16_17_18!F29</f>
        <v>0.12591782677999563</v>
      </c>
      <c r="I6" s="116">
        <f>+[2]Compromissos_Q15_16_17_18!G29</f>
        <v>2.489486562444609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f>+[2]Compromissos_Q15_16_17_18!B30</f>
        <v>11971251.01</v>
      </c>
      <c r="E7" s="165">
        <f>+[2]Compromissos_Q15_16_17_18!C30</f>
        <v>11442101.219999999</v>
      </c>
      <c r="F7" s="165">
        <f>+[2]Compromissos_Q15_16_17_18!D30</f>
        <v>157248.84</v>
      </c>
      <c r="G7" s="95">
        <f>+[2]Compromissos_Q15_16_17_18!E30</f>
        <v>1.3532733358520757</v>
      </c>
      <c r="H7" s="95">
        <f>+[2]Compromissos_Q15_16_17_18!F30</f>
        <v>1.4953122576192888</v>
      </c>
      <c r="I7" s="121">
        <f>+[2]Compromissos_Q15_16_17_18!G30</f>
        <v>0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f>+[2]Compromissos_Q15_16_17_18!B31</f>
        <v>105333113.72000001</v>
      </c>
      <c r="E8" s="165">
        <f>+[2]Compromissos_Q15_16_17_18!C31</f>
        <v>103421722.74000001</v>
      </c>
      <c r="F8" s="165">
        <f>+[2]Compromissos_Q15_16_17_18!D31</f>
        <v>30403061.860000007</v>
      </c>
      <c r="G8" s="95">
        <f>+[2]Compromissos_Q15_16_17_18!E31</f>
        <v>0.12238132192485995</v>
      </c>
      <c r="H8" s="95">
        <f>+[2]Compromissos_Q15_16_17_18!F31</f>
        <v>0.10583207822208984</v>
      </c>
      <c r="I8" s="121">
        <f>+[2]Compromissos_Q15_16_17_18!G31</f>
        <v>0.92229241508639581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f>+[2]Compromissos_Q15_16_17_18!B32</f>
        <v>4565624.5399999991</v>
      </c>
      <c r="E9" s="165">
        <f>+[2]Compromissos_Q15_16_17_18!C32</f>
        <v>3568231.4299999997</v>
      </c>
      <c r="F9" s="165">
        <f>+[2]Compromissos_Q15_16_17_18!D32</f>
        <v>2226842.62</v>
      </c>
      <c r="G9" s="95">
        <f>+[2]Compromissos_Q15_16_17_18!E32</f>
        <v>-0.25138179419204709</v>
      </c>
      <c r="H9" s="95">
        <f>+[2]Compromissos_Q15_16_17_18!F32</f>
        <v>0.33088862686687803</v>
      </c>
      <c r="I9" s="121">
        <f>+[2]Compromissos_Q15_16_17_18!G32</f>
        <v>0.1620496662983173</v>
      </c>
    </row>
    <row r="10" spans="2:11">
      <c r="B10" s="29"/>
      <c r="C10" s="120" t="str">
        <f>+IF(Índice!$D$2=1,"Transferências correntes","Current transfers")</f>
        <v>Current transfers</v>
      </c>
      <c r="D10" s="165">
        <f>+[2]Compromissos_Q15_16_17_18!B33</f>
        <v>62473935.950000003</v>
      </c>
      <c r="E10" s="165">
        <f>+[2]Compromissos_Q15_16_17_18!C33</f>
        <v>56924342.769999996</v>
      </c>
      <c r="F10" s="165">
        <f>+[2]Compromissos_Q15_16_17_18!D33</f>
        <v>30778882.119999997</v>
      </c>
      <c r="G10" s="95">
        <f>+[2]Compromissos_Q15_16_17_18!E33</f>
        <v>3.1114796287108115E-2</v>
      </c>
      <c r="H10" s="95">
        <f>+[2]Compromissos_Q15_16_17_18!F33</f>
        <v>-3.3349448680782046E-2</v>
      </c>
      <c r="I10" s="121">
        <f>+[2]Compromissos_Q15_16_17_18!G33</f>
        <v>93.159581507561271</v>
      </c>
    </row>
    <row r="11" spans="2:11">
      <c r="B11" s="29"/>
      <c r="C11" s="120" t="str">
        <f>+IF(Índice!$D$2=1,"Subsídios","Subsidies")</f>
        <v>Subsidies</v>
      </c>
      <c r="D11" s="165">
        <f>+[2]Compromissos_Q15_16_17_18!B34</f>
        <v>4415014.0599999996</v>
      </c>
      <c r="E11" s="165">
        <f>+[2]Compromissos_Q15_16_17_18!C34</f>
        <v>4415014.0599999996</v>
      </c>
      <c r="F11" s="165">
        <f>+[2]Compromissos_Q15_16_17_18!D34</f>
        <v>0</v>
      </c>
      <c r="G11" s="95">
        <f>+[2]Compromissos_Q15_16_17_18!E34</f>
        <v>18885.952686516084</v>
      </c>
      <c r="H11" s="95">
        <f>+[2]Compromissos_Q15_16_17_18!F34</f>
        <v>18885.952686516084</v>
      </c>
      <c r="I11" s="121">
        <f>+[2]Compromissos_Q15_16_17_18!G34</f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f>+[2]Compromissos_Q15_16_17_18!B35</f>
        <v>26465.979999999996</v>
      </c>
      <c r="E12" s="165">
        <f>+[2]Compromissos_Q15_16_17_18!C35</f>
        <v>26145.17</v>
      </c>
      <c r="F12" s="165">
        <f>+[2]Compromissos_Q15_16_17_18!D35</f>
        <v>301</v>
      </c>
      <c r="G12" s="95">
        <f>+[2]Compromissos_Q15_16_17_18!E35</f>
        <v>0.44243709157896416</v>
      </c>
      <c r="H12" s="95">
        <f>+[2]Compromissos_Q15_16_17_18!F35</f>
        <v>1.4031701970228272</v>
      </c>
      <c r="I12" s="121">
        <f>+[2]Compromissos_Q15_16_17_18!G35</f>
        <v>4.9019607843137258</v>
      </c>
    </row>
    <row r="13" spans="2:11">
      <c r="B13" s="29"/>
      <c r="C13" s="115" t="str">
        <f>+IF(Índice!$D$2=1,"Despesa de capital","Capital expenditure")</f>
        <v>Capital expenditure</v>
      </c>
      <c r="D13" s="163">
        <f>+[2]Compromissos_Q15_16_17_18!B36</f>
        <v>31213042.969999999</v>
      </c>
      <c r="E13" s="163">
        <f>+[2]Compromissos_Q15_16_17_18!C36</f>
        <v>26182269.640000001</v>
      </c>
      <c r="F13" s="163">
        <f>+[2]Compromissos_Q15_16_17_18!D36</f>
        <v>207526.20999999996</v>
      </c>
      <c r="G13" s="92">
        <f>+[2]Compromissos_Q15_16_17_18!E36</f>
        <v>9.9103529393449019E-2</v>
      </c>
      <c r="H13" s="92">
        <f>+[2]Compromissos_Q15_16_17_18!F36</f>
        <v>0.24382374213424618</v>
      </c>
      <c r="I13" s="117">
        <f>+[2]Compromissos_Q15_16_17_18!G36</f>
        <v>0.43389038639536293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f>+[2]Compromissos_Q15_16_17_18!B37</f>
        <v>20610747.009999998</v>
      </c>
      <c r="E14" s="165">
        <f>+[2]Compromissos_Q15_16_17_18!C37</f>
        <v>16137974.699999996</v>
      </c>
      <c r="F14" s="165">
        <f>+[2]Compromissos_Q15_16_17_18!D37</f>
        <v>207526.20999999996</v>
      </c>
      <c r="G14" s="95">
        <f>+[2]Compromissos_Q15_16_17_18!E37</f>
        <v>0.14338979459519363</v>
      </c>
      <c r="H14" s="95">
        <f>+[2]Compromissos_Q15_16_17_18!F37</f>
        <v>0.4319198733507208</v>
      </c>
      <c r="I14" s="121">
        <f>+[2]Compromissos_Q15_16_17_18!G37</f>
        <v>0.43389038639536293</v>
      </c>
    </row>
    <row r="15" spans="2:11">
      <c r="B15" s="29"/>
      <c r="C15" s="120" t="str">
        <f>+IF(Índice!$D$2=1,"Transferências capital","Capital transfers")</f>
        <v>Capital transfers</v>
      </c>
      <c r="D15" s="165">
        <f>+[2]Compromissos_Q15_16_17_18!B38</f>
        <v>10602295.959999999</v>
      </c>
      <c r="E15" s="165">
        <f>+[2]Compromissos_Q15_16_17_18!C38</f>
        <v>10044294.939999999</v>
      </c>
      <c r="F15" s="165">
        <f>+[2]Compromissos_Q15_16_17_18!D38</f>
        <v>0</v>
      </c>
      <c r="G15" s="95">
        <f>+[2]Compromissos_Q15_16_17_18!E38</f>
        <v>2.2140994949779946E-2</v>
      </c>
      <c r="H15" s="95">
        <f>+[2]Compromissos_Q15_16_17_18!F38</f>
        <v>2.7060043107851373E-2</v>
      </c>
      <c r="I15" s="121">
        <f>+[2]Compromissos_Q15_16_17_18!G38</f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f>+[2]Compromissos_Q15_16_17_18!B39</f>
        <v>0</v>
      </c>
      <c r="E16" s="166">
        <f>+[2]Compromissos_Q15_16_17_18!C39</f>
        <v>0</v>
      </c>
      <c r="F16" s="166">
        <f>+[2]Compromissos_Q15_16_17_18!D39</f>
        <v>0</v>
      </c>
      <c r="G16" s="96">
        <f>+[2]Compromissos_Q15_16_17_18!E39</f>
        <v>0</v>
      </c>
      <c r="H16" s="96">
        <f>+[2]Compromissos_Q15_16_17_18!F39</f>
        <v>0</v>
      </c>
      <c r="I16" s="123">
        <f>+[2]Compromissos_Q15_16_17_18!G39</f>
        <v>0</v>
      </c>
    </row>
    <row r="17" spans="2:9">
      <c r="B17" s="29"/>
      <c r="C17" s="146" t="s">
        <v>7</v>
      </c>
      <c r="D17" s="164">
        <f>+[2]Compromissos_Q15_16_17_18!B40</f>
        <v>219998448.23000002</v>
      </c>
      <c r="E17" s="164">
        <f>+[2]Compromissos_Q15_16_17_18!C40</f>
        <v>205979827.03000003</v>
      </c>
      <c r="F17" s="164">
        <f>+[2]Compromissos_Q15_16_17_18!D40</f>
        <v>63773862.650000006</v>
      </c>
      <c r="G17" s="147">
        <f>+[2]Compromissos_Q15_16_17_18!E40</f>
        <v>0.1337809882863612</v>
      </c>
      <c r="H17" s="147">
        <f>+[2]Compromissos_Q15_16_17_18!F40</f>
        <v>0.13964973038181627</v>
      </c>
      <c r="I17" s="148">
        <f>+[2]Compromissos_Q15_16_17_18!G40</f>
        <v>2.4732836779450023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f>+[2]Compromissos_Q15_16_17_18!B42</f>
        <v>152068588.38999999</v>
      </c>
      <c r="E19" s="164">
        <f>+[2]Compromissos_Q15_16_17_18!C42</f>
        <v>138062451.13</v>
      </c>
      <c r="F19" s="164">
        <f>+[2]Compromissos_Q15_16_17_18!D42</f>
        <v>41485141.869999997</v>
      </c>
      <c r="G19" s="147">
        <f>+[2]Compromissos_Q15_16_17_18!E42</f>
        <v>0.22813308750019479</v>
      </c>
      <c r="H19" s="147">
        <f>+[2]Compromissos_Q15_16_17_18!F42</f>
        <v>0.24905665851910785</v>
      </c>
      <c r="I19" s="148">
        <f>+[2]Compromissos_Q15_16_17_18!G42</f>
        <v>8.0505309628491748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março de 2026 (valores acumulados)","Table XIV - Accounts payable of the Regional Gov., february (accumulated)")</f>
        <v>Table XIV - Accounts payable of the Regional Gov., february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9" t="str">
        <f>+IF(Índice!$D$2=1,"Governo Regional","Regional Government")</f>
        <v>Regional Government</v>
      </c>
      <c r="D24" s="336" t="str">
        <f>+IF(Índice!$D$2=1,"março 2026","february 2026")</f>
        <v>february 2026</v>
      </c>
      <c r="E24" s="336" t="str">
        <f>+IF(Índice!$D$2="PT","janeiro 2020","January")</f>
        <v>January</v>
      </c>
      <c r="F24" s="336" t="str">
        <f>+IF(Índice!$D$2="PT","janeiro 2020","January")</f>
        <v>January</v>
      </c>
      <c r="G24" s="343" t="str">
        <f>+IF(Índice!$D$2=1,"Variação face ao stock inicial de janeiro","Change from january initial stock")</f>
        <v>Change from january initial stock</v>
      </c>
      <c r="H24" s="344"/>
      <c r="I24" s="344"/>
    </row>
    <row r="25" spans="2:9" ht="22.5" customHeight="1">
      <c r="B25" s="29"/>
      <c r="C25" s="339"/>
      <c r="D25" s="351" t="str">
        <f>+IF(Índice!$D$2=1,"Stock final do período","Accumulated")</f>
        <v>Accumulated</v>
      </c>
      <c r="E25" s="351"/>
      <c r="F25" s="351"/>
      <c r="G25" s="348" t="str">
        <f>+IF(Índice!$D$2=1,"Passivo","Liabilities")</f>
        <v>Liabilities</v>
      </c>
      <c r="H25" s="348" t="str">
        <f>+IF(Índice!$D$2=1,"Contas a pagar","Accounts payable")</f>
        <v>Accounts payable</v>
      </c>
      <c r="I25" s="337" t="str">
        <f>+IF(Índice!$D$2=1,"Pagamentos em atraso","Late payments")</f>
        <v>Late payments</v>
      </c>
    </row>
    <row r="26" spans="2:9" ht="22.5">
      <c r="B26" s="29"/>
      <c r="C26" s="339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9"/>
      <c r="H26" s="349"/>
      <c r="I26" s="338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f>+[2]Compromissos_Q15_16_17_18!B5</f>
        <v>27898635.920000002</v>
      </c>
      <c r="E27" s="162">
        <f>+[2]Compromissos_Q15_16_17_18!C5</f>
        <v>20392001.980000004</v>
      </c>
      <c r="F27" s="162">
        <f>+[2]Compromissos_Q15_16_17_18!D5</f>
        <v>1256795.9399999997</v>
      </c>
      <c r="G27" s="91">
        <f>+[2]Compromissos_Q15_16_17_18!E5</f>
        <v>2.5168722455477326</v>
      </c>
      <c r="H27" s="91">
        <f>+[2]Compromissos_Q15_16_17_18!F5</f>
        <v>2.5441570968684419</v>
      </c>
      <c r="I27" s="116">
        <f>+[2]Compromissos_Q15_16_17_18!G5</f>
        <v>4.2103384684453626E-2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f>+[2]Compromissos_Q15_16_17_18!B6</f>
        <v>24454853.689999998</v>
      </c>
      <c r="E28" s="163">
        <f>+[2]Compromissos_Q15_16_17_18!C6</f>
        <v>19477876.109999999</v>
      </c>
      <c r="F28" s="163">
        <f>+[2]Compromissos_Q15_16_17_18!D6</f>
        <v>12202.55</v>
      </c>
      <c r="G28" s="92">
        <f>+[2]Compromissos_Q15_16_17_18!E6</f>
        <v>0.23370165818016697</v>
      </c>
      <c r="H28" s="172">
        <f>+[2]Compromissos_Q15_16_17_18!F6</f>
        <v>0.27914004768140099</v>
      </c>
      <c r="I28" s="117">
        <f>+[2]Compromissos_Q15_16_17_18!G6</f>
        <v>18.369126984126982</v>
      </c>
    </row>
    <row r="29" spans="2:9" ht="20.100000000000001" customHeight="1">
      <c r="B29" s="29"/>
      <c r="C29" s="146" t="s">
        <v>7</v>
      </c>
      <c r="D29" s="164">
        <f>+[2]Compromissos_Q15_16_17_18!B7</f>
        <v>52353489.609999999</v>
      </c>
      <c r="E29" s="164">
        <f>+[2]Compromissos_Q15_16_17_18!C7</f>
        <v>39869878.090000004</v>
      </c>
      <c r="F29" s="164">
        <f>+[2]Compromissos_Q15_16_17_18!D7</f>
        <v>1268998.4899999998</v>
      </c>
      <c r="G29" s="147">
        <f>+[2]Compromissos_Q15_16_17_18!E7</f>
        <v>0.88626301580331956</v>
      </c>
      <c r="H29" s="147">
        <f>+[2]Compromissos_Q15_16_17_18!F7</f>
        <v>0.90028340261306261</v>
      </c>
      <c r="I29" s="148">
        <f>+[2]Compromissos_Q15_16_17_18!G7</f>
        <v>5.167205779764461E-2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março de 2026 (valores acumulados)","Table XV - Accounts payable of the ASFs, february (accumulated)")</f>
        <v>Table XV - Accounts payable of the ASFs, february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0" t="str">
        <f>+IF(Índice!$D$2=1,"Serviços e Fundos Autónomos","Autonomous Services and Funds")</f>
        <v>Autonomous Services and Funds</v>
      </c>
      <c r="D33" s="336" t="str">
        <f>+IF(Índice!$D$2=1,"março 2026","february 2026")</f>
        <v>february 2026</v>
      </c>
      <c r="E33" s="336" t="str">
        <f>+IF(Índice!$D$2="PT","janeiro 2020","January")</f>
        <v>January</v>
      </c>
      <c r="F33" s="336" t="str">
        <f>+IF(Índice!$D$2="PT","janeiro 2020","January")</f>
        <v>January</v>
      </c>
      <c r="G33" s="343" t="str">
        <f>+IF(Índice!$D$2=1,"Variação face ao stock inicial de janeiro","Change from january initial stock")</f>
        <v>Change from january initial stock</v>
      </c>
      <c r="H33" s="344"/>
      <c r="I33" s="344"/>
    </row>
    <row r="34" spans="2:9" ht="12.75" customHeight="1">
      <c r="C34" s="341"/>
      <c r="D34" s="345" t="str">
        <f>+IF(Índice!$D$2=1,"Stock final do período","Accumulated")</f>
        <v>Accumulated</v>
      </c>
      <c r="E34" s="346"/>
      <c r="F34" s="347"/>
      <c r="G34" s="350" t="str">
        <f>+IF(Índice!$D$2=1,"Passivo","Liabilities")</f>
        <v>Liabilities</v>
      </c>
      <c r="H34" s="350" t="str">
        <f>+IF(Índice!$D$2=1,"Contas a pagar","Accounts payable")</f>
        <v>Accounts payable</v>
      </c>
      <c r="I34" s="337" t="str">
        <f>+IF(Índice!$D$2=1,"Pagamentos em atraso","Late payments")</f>
        <v>Late payments</v>
      </c>
    </row>
    <row r="35" spans="2:9" ht="22.5">
      <c r="C35" s="342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9"/>
      <c r="H35" s="349"/>
      <c r="I35" s="338"/>
    </row>
    <row r="36" spans="2:9" ht="20.100000000000001" customHeight="1">
      <c r="C36" s="115" t="str">
        <f>+IF(Índice!$D$2=1,"Despesa corrente","Current expenditure")</f>
        <v>Current expenditure</v>
      </c>
      <c r="D36" s="162">
        <f>+[2]Compromissos_Q15_16_17_18!B13</f>
        <v>98655434.040000021</v>
      </c>
      <c r="E36" s="162">
        <f>+[2]Compromissos_Q15_16_17_18!C13</f>
        <v>97186704.050000012</v>
      </c>
      <c r="F36" s="162">
        <f>+[2]Compromissos_Q15_16_17_18!D13</f>
        <v>40216143.379999995</v>
      </c>
      <c r="G36" s="91">
        <f>+[2]Compromissos_Q15_16_17_18!E13</f>
        <v>9.3717357352672837E-2</v>
      </c>
      <c r="H36" s="91">
        <f>+[2]Compromissos_Q15_16_17_18!F13</f>
        <v>9.2383045326800639E-2</v>
      </c>
      <c r="I36" s="116">
        <f>+[2]Compromissos_Q15_16_17_18!G13</f>
        <v>10.908568642086623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f>+[2]Compromissos_Q15_16_17_18!B14</f>
        <v>282679.03000000003</v>
      </c>
      <c r="E37" s="163">
        <f>+[2]Compromissos_Q15_16_17_18!C14</f>
        <v>228883.28</v>
      </c>
      <c r="F37" s="163">
        <f>+[2]Compromissos_Q15_16_17_18!D14</f>
        <v>0</v>
      </c>
      <c r="G37" s="92">
        <f>+[2]Compromissos_Q15_16_17_18!E14</f>
        <v>0.20826653250935445</v>
      </c>
      <c r="H37" s="92">
        <f>+[2]Compromissos_Q15_16_17_18!F14</f>
        <v>0.270455424100285</v>
      </c>
      <c r="I37" s="117">
        <f>+[2]Compromissos_Q15_16_17_18!G14</f>
        <v>0</v>
      </c>
    </row>
    <row r="38" spans="2:9" ht="20.100000000000001" customHeight="1">
      <c r="C38" s="146" t="s">
        <v>7</v>
      </c>
      <c r="D38" s="164">
        <f>+[2]Compromissos_Q15_16_17_18!B15</f>
        <v>98938113.070000023</v>
      </c>
      <c r="E38" s="164">
        <f>+[2]Compromissos_Q15_16_17_18!C15</f>
        <v>97415587.330000013</v>
      </c>
      <c r="F38" s="164">
        <f>+[2]Compromissos_Q15_16_17_18!D15</f>
        <v>40216143.379999995</v>
      </c>
      <c r="G38" s="147">
        <f>+[2]Compromissos_Q15_16_17_18!E15</f>
        <v>9.4013691668650035E-2</v>
      </c>
      <c r="H38" s="147">
        <f>+[2]Compromissos_Q15_16_17_18!F15</f>
        <v>9.2742911264589667E-2</v>
      </c>
      <c r="I38" s="148">
        <f>+[2]Compromissos_Q15_16_17_18!G15</f>
        <v>10.908568642086623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março de 2026 (valores acumulados)","Table XVI - Accounts payable of the RPEs, february (accumulated)")</f>
        <v>Table XVI - Accounts payable of the RPEs, february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0" t="str">
        <f>+IF(Índice!$D$2=1,"Entidades Públicas Reclassseicadas","Reclassseied Public Entities")</f>
        <v>Reclassseied Public Entities</v>
      </c>
      <c r="D42" s="336" t="str">
        <f>+IF(Índice!$D$2=1,"março 2026","february 2026")</f>
        <v>february 2026</v>
      </c>
      <c r="E42" s="336" t="str">
        <f>+IF(Índice!$D$2="PT","janeiro 2020","January")</f>
        <v>January</v>
      </c>
      <c r="F42" s="336" t="str">
        <f>+IF(Índice!$D$2="PT","janeiro 2020","January")</f>
        <v>January</v>
      </c>
      <c r="G42" s="343" t="str">
        <f>+IF(Índice!$D$2=1,"Variação face ao stock inicial de janeiro","Change from january initial stock")</f>
        <v>Change from january initial stock</v>
      </c>
      <c r="H42" s="344"/>
      <c r="I42" s="344"/>
    </row>
    <row r="43" spans="2:9" ht="12.75" customHeight="1">
      <c r="C43" s="341"/>
      <c r="D43" s="345" t="str">
        <f>+IF(Índice!$D$2=1,"Stock final do período","Accumulated")</f>
        <v>Accumulated</v>
      </c>
      <c r="E43" s="346"/>
      <c r="F43" s="347"/>
      <c r="G43" s="348" t="str">
        <f>+IF(Índice!$D$2=1,"Passivo","Liabilities")</f>
        <v>Liabilities</v>
      </c>
      <c r="H43" s="348" t="str">
        <f>+IF(Índice!$D$2=1,"Contas a pagar","Accounts payable")</f>
        <v>Accounts payable</v>
      </c>
      <c r="I43" s="337" t="str">
        <f>+IF(Índice!$D$2=1,"Pagamentos em atraso","Late payments")</f>
        <v>Late payments</v>
      </c>
    </row>
    <row r="44" spans="2:9" ht="22.5">
      <c r="C44" s="342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9"/>
      <c r="H44" s="349"/>
      <c r="I44" s="338"/>
    </row>
    <row r="45" spans="2:9" ht="20.100000000000001" customHeight="1">
      <c r="C45" s="115" t="str">
        <f>+IF(Índice!$D$2=1,"Despesa corrente","Current expenditure")</f>
        <v>Current expenditure</v>
      </c>
      <c r="D45" s="162">
        <f>+[2]Compromissos_Q15_16_17_18!B21</f>
        <v>62231335.300000004</v>
      </c>
      <c r="E45" s="162">
        <f>+[2]Compromissos_Q15_16_17_18!C21</f>
        <v>62218851.360000007</v>
      </c>
      <c r="F45" s="162">
        <f>+[2]Compromissos_Q15_16_17_18!D21</f>
        <v>22093397.120000005</v>
      </c>
      <c r="G45" s="91">
        <f>+[2]Compromissos_Q15_16_17_18!E21</f>
        <v>-7.8139687118645385E-2</v>
      </c>
      <c r="H45" s="91">
        <f>+[2]Compromissos_Q15_16_17_18!F21</f>
        <v>-4.232231355459759E-2</v>
      </c>
      <c r="I45" s="116">
        <f>+[2]Compromissos_Q15_16_17_18!G21</f>
        <v>0.62053045692784914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f>+[2]Compromissos_Q15_16_17_18!B22</f>
        <v>6475510.2499999991</v>
      </c>
      <c r="E46" s="163">
        <f>+[2]Compromissos_Q15_16_17_18!C22</f>
        <v>6475510.2499999991</v>
      </c>
      <c r="F46" s="163">
        <f>+[2]Compromissos_Q15_16_17_18!D22</f>
        <v>195323.65999999997</v>
      </c>
      <c r="G46" s="92">
        <f>+[2]Compromissos_Q15_16_17_18!E22</f>
        <v>-0.22377804322436956</v>
      </c>
      <c r="H46" s="92">
        <f>+[2]Compromissos_Q15_16_17_18!F22</f>
        <v>0.14766323065293219</v>
      </c>
      <c r="I46" s="117">
        <f>+[2]Compromissos_Q15_16_17_18!G22</f>
        <v>0.35547789624223469</v>
      </c>
    </row>
    <row r="47" spans="2:9" ht="20.100000000000001" customHeight="1">
      <c r="C47" s="146" t="s">
        <v>7</v>
      </c>
      <c r="D47" s="164">
        <f>+[2]Compromissos_Q15_16_17_18!B23</f>
        <v>68706845.549999997</v>
      </c>
      <c r="E47" s="164">
        <f>+[2]Compromissos_Q15_16_17_18!C23</f>
        <v>68694361.609999999</v>
      </c>
      <c r="F47" s="164">
        <f>+[2]Compromissos_Q15_16_17_18!D23</f>
        <v>22288720.780000005</v>
      </c>
      <c r="G47" s="147">
        <f>+[2]Compromissos_Q15_16_17_18!E23</f>
        <v>-9.4157982278093799E-2</v>
      </c>
      <c r="H47" s="147">
        <f>+[2]Compromissos_Q15_16_17_18!F23</f>
        <v>-2.7141016214109581E-2</v>
      </c>
      <c r="I47" s="148">
        <f>+[2]Compromissos_Q15_16_17_18!G23</f>
        <v>0.61775826750462737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5"/>
  <sheetViews>
    <sheetView showGridLines="0" topLeftCell="A74" zoomScale="85" zoomScaleNormal="85" workbookViewId="0">
      <selection activeCell="C115" sqref="C115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91</v>
      </c>
      <c r="D5" s="171"/>
      <c r="E5" s="169"/>
    </row>
    <row r="6" spans="2:5">
      <c r="B6" s="195"/>
      <c r="C6" s="170" t="s">
        <v>14</v>
      </c>
      <c r="D6" s="170"/>
      <c r="E6" s="169"/>
    </row>
    <row r="7" spans="2:5">
      <c r="B7" s="195"/>
      <c r="C7" s="171" t="s">
        <v>82</v>
      </c>
      <c r="D7" s="170"/>
      <c r="E7" s="169"/>
    </row>
    <row r="8" spans="2:5">
      <c r="B8" s="195"/>
      <c r="C8" s="170" t="s">
        <v>96</v>
      </c>
      <c r="D8" s="171"/>
      <c r="E8" s="169"/>
    </row>
    <row r="9" spans="2:5">
      <c r="B9" s="195"/>
      <c r="C9" s="170" t="s">
        <v>85</v>
      </c>
      <c r="D9" s="170"/>
      <c r="E9" s="169"/>
    </row>
    <row r="10" spans="2:5">
      <c r="B10" s="195"/>
      <c r="C10" s="170" t="s">
        <v>88</v>
      </c>
      <c r="D10" s="170"/>
      <c r="E10" s="169"/>
    </row>
    <row r="11" spans="2:5">
      <c r="B11" s="195"/>
      <c r="C11" s="171" t="s">
        <v>92</v>
      </c>
      <c r="D11" s="170"/>
      <c r="E11" s="169"/>
    </row>
    <row r="12" spans="2:5">
      <c r="B12" s="195"/>
      <c r="C12" s="170" t="s">
        <v>15</v>
      </c>
      <c r="D12" s="170"/>
      <c r="E12" s="169"/>
    </row>
    <row r="13" spans="2:5">
      <c r="B13" s="195"/>
      <c r="C13" s="170" t="s">
        <v>97</v>
      </c>
      <c r="D13" s="170"/>
      <c r="E13" s="169"/>
    </row>
    <row r="14" spans="2:5">
      <c r="B14" s="195"/>
      <c r="C14" s="170" t="s">
        <v>90</v>
      </c>
      <c r="D14" s="170"/>
      <c r="E14" s="169"/>
    </row>
    <row r="15" spans="2:5">
      <c r="B15" s="195"/>
      <c r="C15" s="170" t="s">
        <v>48</v>
      </c>
      <c r="D15" s="170"/>
      <c r="E15" s="169"/>
    </row>
    <row r="16" spans="2:5">
      <c r="B16" s="195"/>
      <c r="C16" s="170" t="s">
        <v>49</v>
      </c>
      <c r="D16" s="170"/>
      <c r="E16" s="169"/>
    </row>
    <row r="17" spans="2:5">
      <c r="B17" s="195"/>
      <c r="C17" s="170" t="s">
        <v>50</v>
      </c>
      <c r="D17" s="171"/>
      <c r="E17" s="169"/>
    </row>
    <row r="18" spans="2:5">
      <c r="B18" s="195"/>
      <c r="C18" s="170" t="s">
        <v>16</v>
      </c>
      <c r="D18" s="170"/>
      <c r="E18" s="169"/>
    </row>
    <row r="19" spans="2:5">
      <c r="B19" s="195"/>
      <c r="C19" s="170" t="s">
        <v>38</v>
      </c>
      <c r="D19" s="170"/>
      <c r="E19" s="169"/>
    </row>
    <row r="20" spans="2:5">
      <c r="B20" s="195"/>
      <c r="C20" s="170" t="s">
        <v>51</v>
      </c>
      <c r="D20" s="170"/>
      <c r="E20" s="169"/>
    </row>
    <row r="21" spans="2:5">
      <c r="B21" s="195"/>
      <c r="C21" s="170" t="s">
        <v>62</v>
      </c>
      <c r="D21" s="170"/>
      <c r="E21" s="169"/>
    </row>
    <row r="22" spans="2:5">
      <c r="B22" s="195"/>
      <c r="C22" s="170" t="s">
        <v>60</v>
      </c>
      <c r="D22" s="170"/>
      <c r="E22" s="169"/>
    </row>
    <row r="23" spans="2:5">
      <c r="B23" s="195"/>
      <c r="C23" s="170" t="s">
        <v>17</v>
      </c>
      <c r="D23" s="170"/>
      <c r="E23" s="169"/>
    </row>
    <row r="24" spans="2:5">
      <c r="B24" s="195"/>
      <c r="C24" s="170" t="s">
        <v>63</v>
      </c>
      <c r="D24" s="170"/>
      <c r="E24" s="169"/>
    </row>
    <row r="25" spans="2:5">
      <c r="B25" s="195"/>
      <c r="C25" s="170" t="s">
        <v>39</v>
      </c>
      <c r="D25" s="170"/>
      <c r="E25" s="169"/>
    </row>
    <row r="26" spans="2:5">
      <c r="B26" s="195"/>
      <c r="C26" s="170" t="s">
        <v>84</v>
      </c>
      <c r="D26" s="170"/>
      <c r="E26" s="169"/>
    </row>
    <row r="27" spans="2:5">
      <c r="B27" s="195"/>
      <c r="C27" s="170" t="s">
        <v>52</v>
      </c>
      <c r="D27" s="170"/>
      <c r="E27" s="169"/>
    </row>
    <row r="28" spans="2:5">
      <c r="B28" s="195"/>
      <c r="C28" s="170" t="s">
        <v>64</v>
      </c>
      <c r="D28" s="170"/>
      <c r="E28" s="169"/>
    </row>
    <row r="29" spans="2:5">
      <c r="B29" s="55"/>
      <c r="C29" s="170" t="s">
        <v>53</v>
      </c>
      <c r="D29" s="170"/>
      <c r="E29" s="169"/>
    </row>
    <row r="30" spans="2:5">
      <c r="B30" s="55"/>
      <c r="C30" s="170" t="s">
        <v>54</v>
      </c>
      <c r="D30" s="170"/>
      <c r="E30" s="169"/>
    </row>
    <row r="31" spans="2:5">
      <c r="B31" s="55"/>
      <c r="C31" s="170" t="s">
        <v>40</v>
      </c>
      <c r="D31" s="170"/>
      <c r="E31" s="169"/>
    </row>
    <row r="32" spans="2:5">
      <c r="B32" s="55"/>
      <c r="C32" s="170" t="s">
        <v>61</v>
      </c>
      <c r="D32" s="170"/>
      <c r="E32" s="169"/>
    </row>
    <row r="33" spans="2:5">
      <c r="B33" s="55"/>
      <c r="C33" s="170" t="s">
        <v>41</v>
      </c>
      <c r="D33" s="170"/>
      <c r="E33" s="169"/>
    </row>
    <row r="34" spans="2:5">
      <c r="B34" s="55"/>
      <c r="C34" s="170" t="s">
        <v>55</v>
      </c>
      <c r="D34" s="170"/>
      <c r="E34" s="169"/>
    </row>
    <row r="35" spans="2:5">
      <c r="B35" s="55"/>
      <c r="C35" s="170" t="s">
        <v>69</v>
      </c>
      <c r="D35" s="170"/>
      <c r="E35" s="169"/>
    </row>
    <row r="36" spans="2:5">
      <c r="B36" s="55"/>
      <c r="C36" s="170" t="s">
        <v>56</v>
      </c>
      <c r="D36" s="170"/>
      <c r="E36" s="169"/>
    </row>
    <row r="37" spans="2:5">
      <c r="B37" s="55"/>
      <c r="C37" s="170" t="s">
        <v>42</v>
      </c>
      <c r="D37" s="170"/>
      <c r="E37" s="169"/>
    </row>
    <row r="38" spans="2:5">
      <c r="B38" s="55"/>
      <c r="C38" s="170" t="s">
        <v>57</v>
      </c>
      <c r="D38" s="170"/>
      <c r="E38" s="169"/>
    </row>
    <row r="39" spans="2:5">
      <c r="B39" s="55"/>
      <c r="C39" s="170" t="s">
        <v>43</v>
      </c>
      <c r="D39" s="170"/>
      <c r="E39" s="169"/>
    </row>
    <row r="40" spans="2:5">
      <c r="B40" s="55"/>
      <c r="C40" s="171" t="s">
        <v>72</v>
      </c>
      <c r="D40" s="170"/>
      <c r="E40" s="169"/>
    </row>
    <row r="41" spans="2:5">
      <c r="B41" s="55"/>
      <c r="C41" s="170" t="s">
        <v>73</v>
      </c>
      <c r="D41" s="170"/>
      <c r="E41" s="169"/>
    </row>
    <row r="42" spans="2:5">
      <c r="B42" s="55"/>
      <c r="C42" s="170" t="s">
        <v>18</v>
      </c>
      <c r="D42" s="170"/>
      <c r="E42" s="169"/>
    </row>
    <row r="43" spans="2:5">
      <c r="B43" s="55"/>
      <c r="C43" s="170" t="s">
        <v>65</v>
      </c>
      <c r="D43" s="171"/>
      <c r="E43" s="169"/>
    </row>
    <row r="44" spans="2:5">
      <c r="B44" s="55"/>
      <c r="C44" s="170" t="s">
        <v>74</v>
      </c>
      <c r="D44" s="170"/>
      <c r="E44" s="169"/>
    </row>
    <row r="45" spans="2:5">
      <c r="B45" s="55"/>
      <c r="C45" s="171" t="s">
        <v>23</v>
      </c>
      <c r="D45" s="171"/>
      <c r="E45" s="169"/>
    </row>
    <row r="46" spans="2:5">
      <c r="B46" s="55"/>
      <c r="C46" s="170" t="s">
        <v>73</v>
      </c>
      <c r="D46" s="170"/>
      <c r="E46" s="169"/>
    </row>
    <row r="47" spans="2:5">
      <c r="B47" s="55"/>
      <c r="C47" s="170" t="s">
        <v>89</v>
      </c>
      <c r="D47" s="170"/>
      <c r="E47" s="169"/>
    </row>
    <row r="48" spans="2:5">
      <c r="B48" s="55"/>
      <c r="C48" s="170" t="s">
        <v>24</v>
      </c>
      <c r="D48" s="170"/>
      <c r="E48" s="169"/>
    </row>
    <row r="49" spans="2:5">
      <c r="B49" s="55"/>
      <c r="C49" s="171" t="s">
        <v>19</v>
      </c>
      <c r="D49" s="170"/>
      <c r="E49" s="169"/>
    </row>
    <row r="50" spans="2:5">
      <c r="B50" s="55"/>
      <c r="C50" s="170" t="s">
        <v>44</v>
      </c>
      <c r="D50" s="171"/>
      <c r="E50" s="169"/>
    </row>
    <row r="51" spans="2:5">
      <c r="B51" s="55"/>
      <c r="C51" s="170" t="s">
        <v>45</v>
      </c>
      <c r="D51" s="170"/>
      <c r="E51" s="169"/>
    </row>
    <row r="52" spans="2:5">
      <c r="B52" s="55"/>
      <c r="C52" s="170" t="s">
        <v>36</v>
      </c>
      <c r="D52" s="170"/>
      <c r="E52" s="169"/>
    </row>
    <row r="53" spans="2:5">
      <c r="B53" s="55"/>
      <c r="C53" s="170" t="s">
        <v>20</v>
      </c>
      <c r="D53" s="170"/>
      <c r="E53" s="169"/>
    </row>
    <row r="54" spans="2:5">
      <c r="B54" s="55"/>
      <c r="C54" s="170" t="s">
        <v>46</v>
      </c>
      <c r="D54" s="171"/>
      <c r="E54" s="169"/>
    </row>
    <row r="55" spans="2:5">
      <c r="B55" s="55"/>
      <c r="C55" s="170" t="s">
        <v>21</v>
      </c>
    </row>
    <row r="56" spans="2:5">
      <c r="B56" s="55"/>
      <c r="C56" s="170" t="s">
        <v>22</v>
      </c>
    </row>
    <row r="57" spans="2:5">
      <c r="B57" s="55"/>
      <c r="C57" s="170" t="s">
        <v>37</v>
      </c>
    </row>
    <row r="58" spans="2:5">
      <c r="B58" s="55"/>
      <c r="C58" s="170" t="s">
        <v>75</v>
      </c>
    </row>
    <row r="59" spans="2:5">
      <c r="B59" s="55"/>
      <c r="C59" s="171" t="s">
        <v>76</v>
      </c>
    </row>
    <row r="60" spans="2:5">
      <c r="B60" s="55"/>
      <c r="C60" s="170" t="s">
        <v>73</v>
      </c>
    </row>
    <row r="61" spans="2:5">
      <c r="B61" s="55"/>
      <c r="C61" s="170" t="s">
        <v>98</v>
      </c>
    </row>
    <row r="62" spans="2:5">
      <c r="B62" s="55"/>
      <c r="C62" s="170" t="s">
        <v>67</v>
      </c>
    </row>
    <row r="63" spans="2:5">
      <c r="B63" s="55"/>
      <c r="C63" s="170" t="s">
        <v>77</v>
      </c>
    </row>
    <row r="64" spans="2:5">
      <c r="B64" s="55"/>
      <c r="C64" s="171" t="s">
        <v>66</v>
      </c>
    </row>
    <row r="65" spans="2:3">
      <c r="B65" s="55"/>
      <c r="C65" s="170" t="s">
        <v>73</v>
      </c>
    </row>
    <row r="66" spans="2:3">
      <c r="B66" s="55"/>
      <c r="C66" s="170" t="s">
        <v>58</v>
      </c>
    </row>
    <row r="67" spans="2:3">
      <c r="B67" s="55"/>
      <c r="C67" s="170" t="s">
        <v>25</v>
      </c>
    </row>
    <row r="68" spans="2:3">
      <c r="B68" s="55"/>
      <c r="C68" s="170" t="s">
        <v>86</v>
      </c>
    </row>
    <row r="69" spans="2:3">
      <c r="B69" s="55"/>
      <c r="C69" s="170" t="s">
        <v>78</v>
      </c>
    </row>
    <row r="70" spans="2:3">
      <c r="B70" s="55"/>
      <c r="C70" s="171" t="s">
        <v>71</v>
      </c>
    </row>
    <row r="71" spans="2:3">
      <c r="B71" s="55"/>
      <c r="C71" s="170" t="s">
        <v>73</v>
      </c>
    </row>
    <row r="72" spans="2:3">
      <c r="B72" s="55"/>
      <c r="C72" s="170" t="s">
        <v>26</v>
      </c>
    </row>
    <row r="73" spans="2:3" ht="13.5" customHeight="1">
      <c r="B73" s="55"/>
      <c r="C73" s="170" t="s">
        <v>27</v>
      </c>
    </row>
    <row r="74" spans="2:3" ht="13.5" customHeight="1">
      <c r="B74" s="55"/>
      <c r="C74" s="170" t="s">
        <v>28</v>
      </c>
    </row>
    <row r="75" spans="2:3" ht="13.5" customHeight="1">
      <c r="B75" s="55"/>
      <c r="C75" s="170" t="s">
        <v>79</v>
      </c>
    </row>
    <row r="76" spans="2:3" ht="13.5" customHeight="1">
      <c r="B76" s="55"/>
      <c r="C76" s="289" t="s">
        <v>80</v>
      </c>
    </row>
    <row r="77" spans="2:3" ht="13.5" customHeight="1">
      <c r="B77" s="55"/>
      <c r="C77" s="170"/>
    </row>
    <row r="78" spans="2:3" ht="13.5" customHeight="1">
      <c r="B78" s="55"/>
      <c r="C78" s="170"/>
    </row>
    <row r="79" spans="2:3" ht="13.5" customHeight="1">
      <c r="B79" s="55"/>
      <c r="C79" s="170"/>
    </row>
    <row r="80" spans="2:3" ht="13.5" customHeight="1">
      <c r="B80" s="55"/>
      <c r="C80" s="170"/>
    </row>
    <row r="81" spans="2:3" ht="30.75" customHeight="1">
      <c r="B81" s="16"/>
      <c r="C81" s="321" t="s">
        <v>11</v>
      </c>
    </row>
    <row r="82" spans="2:3">
      <c r="B82" s="55"/>
      <c r="C82" s="288" t="s">
        <v>13</v>
      </c>
    </row>
    <row r="83" spans="2:3">
      <c r="B83" s="55"/>
      <c r="C83" s="170" t="s">
        <v>13</v>
      </c>
    </row>
    <row r="84" spans="2:3">
      <c r="B84" s="55"/>
      <c r="C84" s="171" t="s">
        <v>82</v>
      </c>
    </row>
    <row r="85" spans="2:3">
      <c r="B85" s="55"/>
      <c r="C85" s="170" t="s">
        <v>59</v>
      </c>
    </row>
    <row r="86" spans="2:3">
      <c r="B86" s="55"/>
      <c r="C86" s="171" t="s">
        <v>92</v>
      </c>
    </row>
    <row r="87" spans="2:3">
      <c r="B87" s="55"/>
      <c r="C87" s="170" t="s">
        <v>68</v>
      </c>
    </row>
    <row r="88" spans="2:3">
      <c r="B88" s="55"/>
      <c r="C88" s="170" t="s">
        <v>83</v>
      </c>
    </row>
    <row r="89" spans="2:3">
      <c r="B89" s="55"/>
      <c r="C89" s="170" t="s">
        <v>87</v>
      </c>
    </row>
    <row r="90" spans="2:3">
      <c r="B90" s="55"/>
      <c r="C90" s="171" t="s">
        <v>72</v>
      </c>
    </row>
    <row r="91" spans="2:3">
      <c r="B91" s="55"/>
      <c r="C91" s="170" t="s">
        <v>29</v>
      </c>
    </row>
    <row r="92" spans="2:3">
      <c r="B92" s="55"/>
      <c r="C92" s="170" t="s">
        <v>81</v>
      </c>
    </row>
    <row r="93" spans="2:3">
      <c r="B93" s="55"/>
      <c r="C93" s="171" t="s">
        <v>23</v>
      </c>
    </row>
    <row r="94" spans="2:3">
      <c r="B94" s="55"/>
      <c r="C94" s="170" t="s">
        <v>93</v>
      </c>
    </row>
    <row r="95" spans="2:3">
      <c r="B95" s="55"/>
      <c r="C95" s="171" t="s">
        <v>19</v>
      </c>
    </row>
    <row r="96" spans="2:3">
      <c r="B96" s="55"/>
      <c r="C96" s="170" t="s">
        <v>30</v>
      </c>
    </row>
    <row r="97" spans="2:3">
      <c r="B97" s="55"/>
      <c r="C97" s="170" t="s">
        <v>31</v>
      </c>
    </row>
    <row r="98" spans="2:3">
      <c r="B98" s="55"/>
      <c r="C98" s="170" t="s">
        <v>47</v>
      </c>
    </row>
    <row r="99" spans="2:3">
      <c r="B99" s="55"/>
      <c r="C99" s="171" t="s">
        <v>76</v>
      </c>
    </row>
    <row r="100" spans="2:3">
      <c r="B100" s="55"/>
      <c r="C100" s="171" t="s">
        <v>66</v>
      </c>
    </row>
    <row r="101" spans="2:3">
      <c r="B101" s="55"/>
      <c r="C101" s="170" t="s">
        <v>95</v>
      </c>
    </row>
    <row r="102" spans="2:3">
      <c r="B102" s="55"/>
      <c r="C102" s="171" t="s">
        <v>71</v>
      </c>
    </row>
    <row r="103" spans="2:3">
      <c r="B103" s="55"/>
      <c r="C103" s="170" t="s">
        <v>32</v>
      </c>
    </row>
    <row r="104" spans="2:3">
      <c r="B104" s="55"/>
      <c r="C104" s="170" t="s">
        <v>33</v>
      </c>
    </row>
    <row r="105" spans="2:3">
      <c r="B105" s="55"/>
      <c r="C105" s="170" t="s">
        <v>34</v>
      </c>
    </row>
    <row r="106" spans="2:3">
      <c r="B106" s="55"/>
      <c r="C106" s="170" t="s">
        <v>35</v>
      </c>
    </row>
    <row r="107" spans="2:3">
      <c r="B107" s="55"/>
      <c r="C107" s="170" t="s">
        <v>94</v>
      </c>
    </row>
    <row r="108" spans="2:3">
      <c r="C108" s="170" t="s">
        <v>70</v>
      </c>
    </row>
    <row r="109" spans="2:3">
      <c r="C109" s="289"/>
    </row>
    <row r="110" spans="2:3">
      <c r="C110" s="170"/>
    </row>
    <row r="111" spans="2:3">
      <c r="C111" s="170"/>
    </row>
    <row r="112" spans="2:3">
      <c r="C112" s="170"/>
    </row>
    <row r="113" spans="3:3">
      <c r="C113" s="170"/>
    </row>
    <row r="114" spans="3:3">
      <c r="C114" s="170"/>
    </row>
    <row r="115" spans="3:3">
      <c r="C115" s="17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/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(january-march)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(january-march)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(march)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(january-march)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(january-march)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(january-march)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(january-march)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(january-march)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(january-march)</v>
      </c>
      <c r="B11" s="217"/>
      <c r="C11" s="217"/>
      <c r="D11" s="217"/>
    </row>
    <row r="12" spans="1:25" s="179" customFormat="1" ht="20.100000000000001" customHeight="1">
      <c r="A12" s="283" t="str">
        <f>+'Q10_SFA '!C2</f>
        <v>TABLE X - ASFs and RPEs budget execution (january-march)</v>
      </c>
      <c r="B12" s="284"/>
      <c r="C12" s="284"/>
      <c r="D12" s="217"/>
    </row>
    <row r="13" spans="1:25" s="179" customFormat="1" ht="20.100000000000001" customHeight="1">
      <c r="A13" s="269" t="str">
        <f>+'Q11_SFA acumulado'!C2</f>
        <v>TABLE XI - ASFs and RPEs budget execution (january-march)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(march)</v>
      </c>
      <c r="B14" s="217"/>
      <c r="C14" s="217"/>
      <c r="D14" s="217"/>
    </row>
    <row r="15" spans="1:25" s="179" customFormat="1" ht="20.100000000000001" customHeight="1">
      <c r="A15" s="283" t="str">
        <f>+Q_13_14_15_16_Compromissos!C2</f>
        <v>Table XIII- Accounts payable of the Regional Administration, march (accumulated)</v>
      </c>
      <c r="B15" s="284"/>
      <c r="C15" s="284"/>
      <c r="D15" s="284"/>
    </row>
    <row r="16" spans="1:25" s="179" customFormat="1" ht="20.100000000000001" customHeight="1">
      <c r="A16" s="283" t="str">
        <f>+Q_13_14_15_16_Compromissos!C23</f>
        <v>Table XIV - Accounts payable of the Regional Gov., february (accumulated)</v>
      </c>
      <c r="B16" s="284"/>
      <c r="C16" s="284"/>
      <c r="D16" s="284"/>
    </row>
    <row r="17" spans="1:4" s="179" customFormat="1" ht="20.100000000000001" customHeight="1">
      <c r="A17" s="283" t="str">
        <f>+Q_13_14_15_16_Compromissos!C32</f>
        <v>Table XV - Accounts payable of the ASFs, february (accumulated)</v>
      </c>
      <c r="B17" s="284"/>
      <c r="C17" s="284"/>
      <c r="D17" s="284"/>
    </row>
    <row r="18" spans="1:4" s="169" customFormat="1" ht="20.100000000000001" customHeight="1">
      <c r="A18" s="269" t="str">
        <f>+Q_13_14_15_16_Compromissos!C41</f>
        <v>Table XVI - Accounts payable of the RPEs, february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'!C81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4"/>
      <c r="C21" s="284"/>
      <c r="D21" s="284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3_14_15_16_Compromissos!B41" display="Q_13_14_15_16_Compromissos!B41" xr:uid="{BAD9A133-E14F-407B-899C-D23381A55606}"/>
    <hyperlink ref="A19" location="'Pagamentos_Atraso '!B2" display="'Pagamentos_Atraso '!B2" xr:uid="{BBAB661D-6B78-40E8-B9DD-E380E22DAE77}"/>
    <hyperlink ref="A20" location="'Pagamentos_Atraso '!B81" display="'Pagamentos_Atraso '!B81" xr:uid="{F718D3A5-B7AF-46BB-9849-9E40F5F28D40}"/>
    <hyperlink ref="A12" location="'Q10_SFA '!B2" display="'Q10_SFA '!B2" xr:uid="{8D1A7F21-9568-46EC-9B75-556892F57933}"/>
    <hyperlink ref="A15" location="Q_13_14_15_16_Compromissos!B2" display="Q_13_14_15_16_Compromissos!B2" xr:uid="{B7AE2B94-05CF-4D8E-8A81-72508CF8DB67}"/>
    <hyperlink ref="A16" location="Q_13_14_15_16_Compromissos!B23" display="Q_13_14_15_16_Compromissos!B23" xr:uid="{4D85DF17-CBC3-4CA4-9E81-59CFADE51B83}"/>
    <hyperlink ref="A17" location="Q_13_14_15_16_Compromissos!B32" display="Q_13_14_15_16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topLeftCell="A2" zoomScale="120" zoomScaleNormal="120" zoomScalePageLayoutView="125" workbookViewId="0">
      <selection activeCell="B2" sqref="B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(janeiro-março)","TABLE I - Consolidated budget execution (january-march)")</f>
        <v>TABLE I - Consolidated budget execution (january-march)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2026","Consolidated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f>+[2]Consolidado_Q1!M67</f>
        <v>317427.26660999999</v>
      </c>
      <c r="E5" s="57">
        <f>+[2]Consolidado_Q1!N67</f>
        <v>157365.37875999996</v>
      </c>
      <c r="F5" s="57">
        <f>+[2]Consolidado_Q1!O67</f>
        <v>118500.28975000001</v>
      </c>
      <c r="G5" s="57">
        <f>+[2]Consolidado_Q1!P67</f>
        <v>372999.17368000001</v>
      </c>
      <c r="H5" s="57">
        <f>+[2]Consolidado_Q1!R67</f>
        <v>5.8093916810655788</v>
      </c>
    </row>
    <row r="6" spans="1:10" ht="11.25" customHeight="1">
      <c r="C6" s="68" t="str">
        <f>+IF(Índice!$D$2=1,"Impostos diretos","Direct taxes")</f>
        <v>Direct taxes</v>
      </c>
      <c r="D6" s="56">
        <f>+[2]Consolidado_Q1!M68</f>
        <v>60534.629080000006</v>
      </c>
      <c r="E6" s="56">
        <f>+[2]Consolidado_Q1!N68</f>
        <v>0</v>
      </c>
      <c r="F6" s="56">
        <f>+[2]Consolidado_Q1!O68</f>
        <v>0</v>
      </c>
      <c r="G6" s="56">
        <f>+[2]Consolidado_Q1!P68</f>
        <v>60534.629080000006</v>
      </c>
      <c r="H6" s="56">
        <f>+[2]Consolidado_Q1!R68</f>
        <v>3.7594857448244756</v>
      </c>
    </row>
    <row r="7" spans="1:10">
      <c r="C7" s="68" t="str">
        <f>+IF(Índice!$D$2=1,"Impostos indiretos","Indirect taxes")</f>
        <v>Indirect taxes</v>
      </c>
      <c r="D7" s="56">
        <f>+[2]Consolidado_Q1!M69</f>
        <v>193919.20668999999</v>
      </c>
      <c r="E7" s="56">
        <f>+[2]Consolidado_Q1!N69</f>
        <v>0</v>
      </c>
      <c r="F7" s="56">
        <f>+[2]Consolidado_Q1!O69</f>
        <v>0</v>
      </c>
      <c r="G7" s="56">
        <f>+[2]Consolidado_Q1!P69</f>
        <v>193919.20668999999</v>
      </c>
      <c r="H7" s="56">
        <f>+[2]Consolidado_Q1!R69</f>
        <v>6.3271358247790621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f>+[2]Consolidado_Q1!M70</f>
        <v>0</v>
      </c>
      <c r="E8" s="56">
        <f>+[2]Consolidado_Q1!N70</f>
        <v>0</v>
      </c>
      <c r="F8" s="56">
        <f>+[2]Consolidado_Q1!O70</f>
        <v>0</v>
      </c>
      <c r="G8" s="56">
        <f>+[2]Consolidado_Q1!P70</f>
        <v>0</v>
      </c>
      <c r="H8" s="56">
        <f>+[2]Consolidado_Q1!R70</f>
        <v>0</v>
      </c>
    </row>
    <row r="9" spans="1:10">
      <c r="C9" s="68" t="str">
        <f>+IF(Índice!$D$2=1,"Outras receitas correntes","Other current revenues")</f>
        <v>Other current revenues</v>
      </c>
      <c r="D9" s="56">
        <f>+[2]Consolidado_Q1!M71</f>
        <v>62973.430840000001</v>
      </c>
      <c r="E9" s="56">
        <f>+[2]Consolidado_Q1!N71</f>
        <v>157365.37875999996</v>
      </c>
      <c r="F9" s="56">
        <f>+[2]Consolidado_Q1!O71</f>
        <v>118500.28975000001</v>
      </c>
      <c r="G9" s="56">
        <f>+[2]Consolidado_Q1!P71</f>
        <v>90744.467560000019</v>
      </c>
      <c r="H9" s="56">
        <f>+[2]Consolidado_Q1!R71</f>
        <v>-15.049217269693738</v>
      </c>
    </row>
    <row r="10" spans="1:10">
      <c r="C10" s="69" t="str">
        <f>+IF(Índice!$D$2=1,"Transferências correntes","Current transfers")</f>
        <v>Current transfers</v>
      </c>
      <c r="D10" s="56">
        <f>+[2]Consolidado_Q1!M72</f>
        <v>54311.77448</v>
      </c>
      <c r="E10" s="56">
        <f>+[2]Consolidado_Q1!N72</f>
        <v>152602.62998999996</v>
      </c>
      <c r="F10" s="56">
        <f>+[2]Consolidado_Q1!O72</f>
        <v>106026.90573</v>
      </c>
      <c r="G10" s="56">
        <f>+[2]Consolidado_Q1!P72</f>
        <v>64846.678409999993</v>
      </c>
      <c r="H10" s="56">
        <f>+[2]Consolidado_Q1!R72</f>
        <v>-16.450407178557612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f>+[2]Consolidado_Q1!M73</f>
        <v>53594.06</v>
      </c>
      <c r="E11" s="56">
        <f>+[2]Consolidado_Q1!N73</f>
        <v>497.06826000000001</v>
      </c>
      <c r="F11" s="56">
        <f>+[2]Consolidado_Q1!O73</f>
        <v>0</v>
      </c>
      <c r="G11" s="56">
        <f>+[2]Consolidado_Q1!P73</f>
        <v>54091.128259999998</v>
      </c>
      <c r="H11" s="56">
        <f>+[2]Consolidado_Q1!R73</f>
        <v>-14.165650124614071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f>+[2]Consolidado_Q1!M74</f>
        <v>0</v>
      </c>
      <c r="E12" s="56">
        <f>+[2]Consolidado_Q1!N74</f>
        <v>143149.76083999997</v>
      </c>
      <c r="F12" s="56">
        <f>+[2]Consolidado_Q1!O74</f>
        <v>104944.87095</v>
      </c>
      <c r="G12" s="56">
        <f>+[2]Consolidado_Q1!P74</f>
        <v>0</v>
      </c>
      <c r="H12" s="56">
        <f>+[2]Consolidado_Q1!R74</f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f>+[2]Consolidado_Q1!M75</f>
        <v>0</v>
      </c>
      <c r="E13" s="56">
        <f>+[2]Consolidado_Q1!N75</f>
        <v>0</v>
      </c>
      <c r="F13" s="56">
        <f>+[2]Consolidado_Q1!O75</f>
        <v>0</v>
      </c>
      <c r="G13" s="56">
        <f>+[2]Consolidado_Q1!P75</f>
        <v>27800.870349999968</v>
      </c>
      <c r="H13" s="56">
        <f>+[2]Consolidado_Q1!R75</f>
        <v>0</v>
      </c>
    </row>
    <row r="14" spans="1:10">
      <c r="C14" s="57" t="str">
        <f>+IF(Índice!$D$2=1,"Receita de capital","Capital revenue")</f>
        <v>Capital revenue</v>
      </c>
      <c r="D14" s="57">
        <f>+[2]Consolidado_Q1!M76</f>
        <v>9045.7839999999997</v>
      </c>
      <c r="E14" s="57">
        <f>+[2]Consolidado_Q1!N76</f>
        <v>4172.6048999999994</v>
      </c>
      <c r="F14" s="57">
        <f>+[2]Consolidado_Q1!O76</f>
        <v>5924.89275</v>
      </c>
      <c r="G14" s="57">
        <f>+[2]Consolidado_Q1!P76</f>
        <v>16787.784189999995</v>
      </c>
      <c r="H14" s="57">
        <f>+[2]Consolidado_Q1!R76</f>
        <v>-67.308372162952551</v>
      </c>
    </row>
    <row r="15" spans="1:10">
      <c r="C15" s="68" t="str">
        <f>+IF(Índice!$D$2=1,"Venda de bens de investimento","Sale of investment goods")</f>
        <v>Sale of investment goods</v>
      </c>
      <c r="D15" s="56">
        <f>+[2]Consolidado_Q1!M77</f>
        <v>365.03</v>
      </c>
      <c r="E15" s="56">
        <f>+[2]Consolidado_Q1!N77</f>
        <v>0</v>
      </c>
      <c r="F15" s="56">
        <f>+[2]Consolidado_Q1!O77</f>
        <v>18.527999999999999</v>
      </c>
      <c r="G15" s="56">
        <f>+[2]Consolidado_Q1!P77</f>
        <v>383.55799999999999</v>
      </c>
      <c r="H15" s="56">
        <f>+[2]Consolidado_Q1!R77</f>
        <v>-67.890435123874781</v>
      </c>
    </row>
    <row r="16" spans="1:10" ht="11.25" customHeight="1">
      <c r="C16" s="68" t="str">
        <f>+IF(Índice!$D$2=1,"Transferências capital","Capital transfers")</f>
        <v>Capital transfers</v>
      </c>
      <c r="D16" s="56">
        <f>+[2]Consolidado_Q1!M78</f>
        <v>6319.8085499999997</v>
      </c>
      <c r="E16" s="56">
        <f>+[2]Consolidado_Q1!N78</f>
        <v>4150.5823099999998</v>
      </c>
      <c r="F16" s="56">
        <f>+[2]Consolidado_Q1!O78</f>
        <v>5894.9814399999996</v>
      </c>
      <c r="G16" s="56">
        <f>+[2]Consolidado_Q1!P78</f>
        <v>13566.882569999998</v>
      </c>
      <c r="H16" s="56">
        <f>+[2]Consolidado_Q1!R78</f>
        <v>-69.091604781351379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f>+[2]Consolidado_Q1!M79</f>
        <v>247.29670999999999</v>
      </c>
      <c r="E17" s="56">
        <f>+[2]Consolidado_Q1!N79</f>
        <v>0</v>
      </c>
      <c r="F17" s="56">
        <f>+[2]Consolidado_Q1!O79</f>
        <v>0</v>
      </c>
      <c r="G17" s="56">
        <f>+[2]Consolidado_Q1!P79</f>
        <v>247.29670999999999</v>
      </c>
      <c r="H17" s="56">
        <f>+[2]Consolidado_Q1!R79</f>
        <v>-99.093192960307789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f>+[2]Consolidado_Q1!M80</f>
        <v>0</v>
      </c>
      <c r="E18" s="56">
        <f>+[2]Consolidado_Q1!N80</f>
        <v>1150.81158</v>
      </c>
      <c r="F18" s="56">
        <f>+[2]Consolidado_Q1!O80</f>
        <v>1647.67815</v>
      </c>
      <c r="G18" s="56">
        <f>+[2]Consolidado_Q1!P80</f>
        <v>0</v>
      </c>
      <c r="H18" s="56">
        <f>+[2]Consolidado_Q1!R80</f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f>+[2]Consolidado_Q1!M81</f>
        <v>0</v>
      </c>
      <c r="E19" s="56">
        <f>+[2]Consolidado_Q1!N81</f>
        <v>0</v>
      </c>
      <c r="F19" s="56">
        <f>+[2]Consolidado_Q1!O81</f>
        <v>0</v>
      </c>
      <c r="G19" s="56">
        <f>+[2]Consolidado_Q1!P81</f>
        <v>442.99227000000019</v>
      </c>
      <c r="H19" s="56">
        <f>+[2]Consolidado_Q1!R81</f>
        <v>0</v>
      </c>
    </row>
    <row r="20" spans="3:8">
      <c r="C20" s="57" t="str">
        <f>+IF(Índice!$D$2=1,"Receita efetiva","Effective revenue")</f>
        <v>Effective revenue</v>
      </c>
      <c r="D20" s="57">
        <f>+[2]Consolidado_Q1!M82</f>
        <v>326473.05061000003</v>
      </c>
      <c r="E20" s="57">
        <f>+[2]Consolidado_Q1!N82</f>
        <v>161537.98365999997</v>
      </c>
      <c r="F20" s="57">
        <f>+[2]Consolidado_Q1!O82</f>
        <v>124425.18250000001</v>
      </c>
      <c r="G20" s="57">
        <f>+[2]Consolidado_Q1!P82</f>
        <v>389786.95786999998</v>
      </c>
      <c r="H20" s="57">
        <f>+[2]Consolidado_Q1!R82</f>
        <v>-3.487465304577908</v>
      </c>
    </row>
    <row r="21" spans="3:8" ht="20.25" customHeight="1">
      <c r="C21" s="220" t="str">
        <f>+IF(Índice!$D$2=1,"Despesa corrente","Current expenditure")</f>
        <v>Current expenditure</v>
      </c>
      <c r="D21" s="220">
        <f>+[2]Consolidado_Q1!M83</f>
        <v>329690.72800999996</v>
      </c>
      <c r="E21" s="220">
        <f>+[2]Consolidado_Q1!N83</f>
        <v>152956.14158000002</v>
      </c>
      <c r="F21" s="220">
        <f>+[2]Consolidado_Q1!O83</f>
        <v>112170.45741</v>
      </c>
      <c r="G21" s="220">
        <f>+[2]Consolidado_Q1!P83</f>
        <v>374523.56555999996</v>
      </c>
      <c r="H21" s="220">
        <f>+[2]Consolidado_Q1!R83</f>
        <v>10.196401477249694</v>
      </c>
    </row>
    <row r="22" spans="3:8" ht="10.5" customHeight="1">
      <c r="C22" s="68" t="str">
        <f>+IF(Índice!$D$2=1,"Consumo público","Public consumption")</f>
        <v>Public consumption</v>
      </c>
      <c r="D22" s="56">
        <f>+[2]Consolidado_Q1!M84</f>
        <v>171331.51200000002</v>
      </c>
      <c r="E22" s="56">
        <f>+[2]Consolidado_Q1!N84</f>
        <v>37051.717530000009</v>
      </c>
      <c r="F22" s="56">
        <f>+[2]Consolidado_Q1!O84</f>
        <v>108383.39154</v>
      </c>
      <c r="G22" s="56">
        <f>+[2]Consolidado_Q1!P84</f>
        <v>316766.62106999999</v>
      </c>
      <c r="H22" s="56">
        <f>+[2]Consolidado_Q1!R84</f>
        <v>13.094876574579528</v>
      </c>
    </row>
    <row r="23" spans="3:8">
      <c r="C23" s="69" t="str">
        <f>+IF(Índice!$D$2=1,"Despesas com o pessoal","Compensation of employees")</f>
        <v>Compensation of employees</v>
      </c>
      <c r="D23" s="56">
        <f>+[2]Consolidado_Q1!M85</f>
        <v>113669.44981000003</v>
      </c>
      <c r="E23" s="56">
        <f>+[2]Consolidado_Q1!N85</f>
        <v>15146.107900000003</v>
      </c>
      <c r="F23" s="56">
        <f>+[2]Consolidado_Q1!O85</f>
        <v>76495.83974000001</v>
      </c>
      <c r="G23" s="56">
        <f>+[2]Consolidado_Q1!P85</f>
        <v>205311.39745000005</v>
      </c>
      <c r="H23" s="56">
        <f>+[2]Consolidado_Q1!R85</f>
        <v>9.423991437629331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f>+[2]Consolidado_Q1!M86</f>
        <v>57662.06218999999</v>
      </c>
      <c r="E24" s="56">
        <f>+[2]Consolidado_Q1!N86</f>
        <v>21905.609630000003</v>
      </c>
      <c r="F24" s="56">
        <f>+[2]Consolidado_Q1!O86</f>
        <v>31887.55179999999</v>
      </c>
      <c r="G24" s="56">
        <f>+[2]Consolidado_Q1!P86</f>
        <v>111455.22361999998</v>
      </c>
      <c r="H24" s="56">
        <f>+[2]Consolidado_Q1!R86</f>
        <v>20.544206642391984</v>
      </c>
    </row>
    <row r="25" spans="3:8">
      <c r="C25" s="68" t="str">
        <f>+IF(Índice!$D$2=1,"Subsídios","Subsidies")</f>
        <v>Subsidies</v>
      </c>
      <c r="D25" s="56">
        <f>+[2]Consolidado_Q1!M87</f>
        <v>1215.9403800000002</v>
      </c>
      <c r="E25" s="56">
        <f>+[2]Consolidado_Q1!N87</f>
        <v>7818.1990300000007</v>
      </c>
      <c r="F25" s="56">
        <f>+[2]Consolidado_Q1!O87</f>
        <v>0</v>
      </c>
      <c r="G25" s="56">
        <f>+[2]Consolidado_Q1!P87</f>
        <v>9025.9980300000025</v>
      </c>
      <c r="H25" s="56">
        <f>+[2]Consolidado_Q1!R87</f>
        <v>29.750764769229797</v>
      </c>
    </row>
    <row r="26" spans="3:8">
      <c r="C26" s="68" t="str">
        <f>+IF(Índice!$D$2=1,"Juros e outros encargos","Interests and other charges")</f>
        <v>Interests and other charges</v>
      </c>
      <c r="D26" s="56">
        <f>+[2]Consolidado_Q1!M88</f>
        <v>22361.668519999999</v>
      </c>
      <c r="E26" s="56">
        <f>+[2]Consolidado_Q1!N88</f>
        <v>62.83126</v>
      </c>
      <c r="F26" s="56">
        <f>+[2]Consolidado_Q1!O88</f>
        <v>90.523039999999995</v>
      </c>
      <c r="G26" s="56">
        <f>+[2]Consolidado_Q1!P88</f>
        <v>22515.022819999998</v>
      </c>
      <c r="H26" s="56">
        <f>+[2]Consolidado_Q1!R88</f>
        <v>-1.0841733427939704</v>
      </c>
    </row>
    <row r="27" spans="3:8">
      <c r="C27" s="68" t="str">
        <f>+IF(Índice!$D$2=1,"Transferências correntes","Current transfers")</f>
        <v>Current transfers</v>
      </c>
      <c r="D27" s="56">
        <f>+[2]Consolidado_Q1!M89</f>
        <v>134781.60710999992</v>
      </c>
      <c r="E27" s="56">
        <f>+[2]Consolidado_Q1!N89</f>
        <v>108023.39376000001</v>
      </c>
      <c r="F27" s="56">
        <f>+[2]Consolidado_Q1!O89</f>
        <v>3696.5428299999999</v>
      </c>
      <c r="G27" s="56">
        <f>+[2]Consolidado_Q1!P89</f>
        <v>26215.923639999935</v>
      </c>
      <c r="H27" s="56">
        <f>+[2]Consolidado_Q1!R89</f>
        <v>-12.792812473906434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f>+[2]Consolidado_Q1!M90</f>
        <v>0</v>
      </c>
      <c r="E28" s="56">
        <f>+[2]Consolidado_Q1!N90</f>
        <v>905.87963000000013</v>
      </c>
      <c r="F28" s="56">
        <f>+[2]Consolidado_Q1!O90</f>
        <v>0</v>
      </c>
      <c r="G28" s="56">
        <f>+[2]Consolidado_Q1!P90</f>
        <v>905.87963000000013</v>
      </c>
      <c r="H28" s="56">
        <f>+[2]Consolidado_Q1!R90</f>
        <v>49.636034660640945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f>+[2]Consolidado_Q1!M91</f>
        <v>120919.05516999999</v>
      </c>
      <c r="E29" s="56">
        <f>+[2]Consolidado_Q1!N91</f>
        <v>99366.564889999994</v>
      </c>
      <c r="F29" s="56">
        <f>+[2]Consolidado_Q1!O91</f>
        <v>0</v>
      </c>
      <c r="G29" s="56">
        <f>+[2]Consolidado_Q1!P91</f>
        <v>0</v>
      </c>
      <c r="H29" s="56">
        <f>+[2]Consolidado_Q1!R91</f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f>+[2]Consolidado_Q1!M92</f>
        <v>0</v>
      </c>
      <c r="E30" s="56">
        <f>+[2]Consolidado_Q1!N92</f>
        <v>0</v>
      </c>
      <c r="F30" s="56">
        <f>+[2]Consolidado_Q1!O92</f>
        <v>0</v>
      </c>
      <c r="G30" s="56">
        <f>+[2]Consolidado_Q1!P92</f>
        <v>0</v>
      </c>
      <c r="H30" s="56">
        <f>+[2]Consolidado_Q1!R92</f>
        <v>0</v>
      </c>
    </row>
    <row r="31" spans="3:8">
      <c r="C31" s="57" t="str">
        <f>+IF(Índice!$D$2=1,"Despesa de capital","Capital expenditure")</f>
        <v>Capital expenditure</v>
      </c>
      <c r="D31" s="57">
        <f>+[2]Consolidado_Q1!M93</f>
        <v>15449.503769999992</v>
      </c>
      <c r="E31" s="57">
        <f>+[2]Consolidado_Q1!N93</f>
        <v>3895.3061399999997</v>
      </c>
      <c r="F31" s="57">
        <f>+[2]Consolidado_Q1!O93</f>
        <v>5467.1172799999995</v>
      </c>
      <c r="G31" s="57">
        <f>+[2]Consolidado_Q1!P93</f>
        <v>22456.429729999993</v>
      </c>
      <c r="H31" s="57">
        <f>+[2]Consolidado_Q1!R93</f>
        <v>-25.554630685017433</v>
      </c>
    </row>
    <row r="32" spans="3:8">
      <c r="C32" s="68" t="str">
        <f>+IF(Índice!$D$2=1,"Investimento","Investment")</f>
        <v>Investment</v>
      </c>
      <c r="D32" s="56">
        <f>+[2]Consolidado_Q1!M94</f>
        <v>5662.1177599999946</v>
      </c>
      <c r="E32" s="56">
        <f>+[2]Consolidado_Q1!N94</f>
        <v>278.00774999999999</v>
      </c>
      <c r="F32" s="56">
        <f>+[2]Consolidado_Q1!O94</f>
        <v>5218.9161699999995</v>
      </c>
      <c r="G32" s="56">
        <f>+[2]Consolidado_Q1!P94</f>
        <v>11159.041679999995</v>
      </c>
      <c r="H32" s="56">
        <f>+[2]Consolidado_Q1!R94</f>
        <v>-55.990821032846647</v>
      </c>
    </row>
    <row r="33" spans="3:8">
      <c r="C33" s="68" t="str">
        <f>+IF(Índice!$D$2=1,"Transferências capital","Capital transfers")</f>
        <v>Capital transfers</v>
      </c>
      <c r="D33" s="56">
        <f>+[2]Consolidado_Q1!M95</f>
        <v>9787.3860099999984</v>
      </c>
      <c r="E33" s="56">
        <f>+[2]Consolidado_Q1!N95</f>
        <v>3617.2983899999999</v>
      </c>
      <c r="F33" s="56">
        <f>+[2]Consolidado_Q1!O95</f>
        <v>248.20111000000003</v>
      </c>
      <c r="G33" s="56">
        <f>+[2]Consolidado_Q1!P95</f>
        <v>11297.388049999998</v>
      </c>
      <c r="H33" s="56">
        <f>+[2]Consolidado_Q1!R95</f>
        <v>134.93106101947009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f>+[2]Consolidado_Q1!M96</f>
        <v>796.89015000000006</v>
      </c>
      <c r="E34" s="56">
        <f>+[2]Consolidado_Q1!N96</f>
        <v>0</v>
      </c>
      <c r="F34" s="56">
        <f>+[2]Consolidado_Q1!O96</f>
        <v>0</v>
      </c>
      <c r="G34" s="56">
        <f>+[2]Consolidado_Q1!P96</f>
        <v>796.89015000000006</v>
      </c>
      <c r="H34" s="56">
        <f>+[2]Consolidado_Q1!R96</f>
        <v>-15.266437607824891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f>+[2]Consolidado_Q1!M97</f>
        <v>2314.49746</v>
      </c>
      <c r="E35" s="56">
        <f>+[2]Consolidado_Q1!N97</f>
        <v>0</v>
      </c>
      <c r="F35" s="56">
        <f>+[2]Consolidado_Q1!O97</f>
        <v>41</v>
      </c>
      <c r="G35" s="56">
        <f>+[2]Consolidado_Q1!P97</f>
        <v>0</v>
      </c>
      <c r="H35" s="56">
        <f>+[2]Consolidado_Q1!R97</f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f>+[2]Consolidado_Q1!M98</f>
        <v>0</v>
      </c>
      <c r="E36" s="56">
        <f>+[2]Consolidado_Q1!N98</f>
        <v>0</v>
      </c>
      <c r="F36" s="56">
        <f>+[2]Consolidado_Q1!O98</f>
        <v>0</v>
      </c>
      <c r="G36" s="56">
        <f>+[2]Consolidado_Q1!P98</f>
        <v>0</v>
      </c>
      <c r="H36" s="56">
        <f>+[2]Consolidado_Q1!R98</f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f>+[2]Consolidado_Q1!M100</f>
        <v>345140.23177999991</v>
      </c>
      <c r="E38" s="86">
        <f>+[2]Consolidado_Q1!N100</f>
        <v>156851.44772</v>
      </c>
      <c r="F38" s="86">
        <f>+[2]Consolidado_Q1!O100</f>
        <v>117637.57469000001</v>
      </c>
      <c r="G38" s="86">
        <f>+[2]Consolidado_Q1!P100</f>
        <v>396979.99528999993</v>
      </c>
      <c r="H38" s="86">
        <f>+[2]Consolidado_Q1!R100</f>
        <v>7.2819969484812397</v>
      </c>
    </row>
    <row r="39" spans="3:8" ht="17.25" customHeight="1">
      <c r="C39" s="138" t="str">
        <f>+IF(Índice!$D$2=1,"Saldo global","Overall balance")</f>
        <v>Overall balance</v>
      </c>
      <c r="D39" s="139">
        <f>+[2]Consolidado_Q1!M101</f>
        <v>-18667.18116999988</v>
      </c>
      <c r="E39" s="139">
        <f>+[2]Consolidado_Q1!N101</f>
        <v>4686.5359399999725</v>
      </c>
      <c r="F39" s="139">
        <f>+[2]Consolidado_Q1!O101</f>
        <v>6787.6078100000013</v>
      </c>
      <c r="G39" s="139">
        <f>+[2]Consolidado_Q1!P101</f>
        <v>-7193.0374199999496</v>
      </c>
      <c r="H39" s="139">
        <f>+[2]Consolidado_Q1!R101</f>
        <v>-121.25744881933862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f>+[2]Consolidado_Q1!M103</f>
        <v>-12263.461399999971</v>
      </c>
      <c r="E41" s="19">
        <f>+[2]Consolidado_Q1!N103</f>
        <v>4409.2371799999382</v>
      </c>
      <c r="F41" s="19">
        <f>+[2]Consolidado_Q1!O103</f>
        <v>6329.8323400000081</v>
      </c>
      <c r="G41" s="19">
        <f>+[2]Consolidado_Q1!P103</f>
        <v>-1524.3918799999519</v>
      </c>
      <c r="H41" s="19">
        <f>+[2]Consolidado_Q1!R103</f>
        <v>-112.04979707769587</v>
      </c>
    </row>
    <row r="42" spans="3:8">
      <c r="C42" s="68" t="str">
        <f>+IF(Índice!$D$2=1,"Despesa corrente primária","Primary current expenditure")</f>
        <v>Primary current expenditure</v>
      </c>
      <c r="D42" s="19">
        <f>+[2]Consolidado_Q1!M104</f>
        <v>307329.05948999996</v>
      </c>
      <c r="E42" s="19">
        <f>+[2]Consolidado_Q1!N104</f>
        <v>152893.31032000002</v>
      </c>
      <c r="F42" s="19">
        <f>+[2]Consolidado_Q1!O104</f>
        <v>112079.93437</v>
      </c>
      <c r="G42" s="19">
        <f>+[2]Consolidado_Q1!P104</f>
        <v>352008.54273999995</v>
      </c>
      <c r="H42" s="19">
        <f>+[2]Consolidado_Q1!R104</f>
        <v>11.006115272044671</v>
      </c>
    </row>
    <row r="43" spans="3:8">
      <c r="C43" s="68" t="str">
        <f>+IF(Índice!$D$2=1,"Saldo corrente primário","Primary current balance")</f>
        <v>Primary current balance</v>
      </c>
      <c r="D43" s="19">
        <f>+[2]Consolidado_Q1!M105</f>
        <v>10098.207120000036</v>
      </c>
      <c r="E43" s="19">
        <f>+[2]Consolidado_Q1!N105</f>
        <v>4472.0684399999445</v>
      </c>
      <c r="F43" s="19">
        <f>+[2]Consolidado_Q1!O105</f>
        <v>6420.3553800000082</v>
      </c>
      <c r="G43" s="19">
        <f>+[2]Consolidado_Q1!P105</f>
        <v>20990.630940000061</v>
      </c>
      <c r="H43" s="19">
        <f>+[2]Consolidado_Q1!R105</f>
        <v>-40.725476921600787</v>
      </c>
    </row>
    <row r="44" spans="3:8">
      <c r="C44" s="68" t="str">
        <f>+IF(Índice!$D$2=1,"Saldo de capital","Capital balance")</f>
        <v>Capital balance</v>
      </c>
      <c r="D44" s="19">
        <f>+[2]Consolidado_Q1!M106</f>
        <v>-6403.7197699999924</v>
      </c>
      <c r="E44" s="19">
        <f>+[2]Consolidado_Q1!N106</f>
        <v>277.29875999999967</v>
      </c>
      <c r="F44" s="19">
        <f>+[2]Consolidado_Q1!O106</f>
        <v>457.7754700000005</v>
      </c>
      <c r="G44" s="19">
        <f>+[2]Consolidado_Q1!P106</f>
        <v>-5668.6455399999977</v>
      </c>
      <c r="H44" s="19">
        <f>+[2]Consolidado_Q1!R106</f>
        <v>-126.75535292746835</v>
      </c>
    </row>
    <row r="45" spans="3:8">
      <c r="C45" s="68" t="str">
        <f t="array" ref="C45">+IF(Índice!$D$2=1,"Despesa primária","Primary expenditure")</f>
        <v>Primary expenditure</v>
      </c>
      <c r="D45" s="19">
        <f>+[2]Consolidado_Q1!M107</f>
        <v>322778.56325999991</v>
      </c>
      <c r="E45" s="19">
        <f>+[2]Consolidado_Q1!N107</f>
        <v>156788.61645999999</v>
      </c>
      <c r="F45" s="19">
        <f>+[2]Consolidado_Q1!O107</f>
        <v>117547.05165000001</v>
      </c>
      <c r="G45" s="19">
        <f>+[2]Consolidado_Q1!P107</f>
        <v>374464.97246999992</v>
      </c>
      <c r="H45" s="19">
        <f>+[2]Consolidado_Q1!R107</f>
        <v>7.8303536261058904</v>
      </c>
    </row>
    <row r="46" spans="3:8">
      <c r="C46" s="221" t="str">
        <f>+IF(Índice!$D$2=1,"Saldo primário","Primary balance")</f>
        <v>Primary balance</v>
      </c>
      <c r="D46" s="132">
        <f>+[2]Consolidado_Q1!M108</f>
        <v>3694.4873500001268</v>
      </c>
      <c r="E46" s="132">
        <f>+[2]Consolidado_Q1!N108</f>
        <v>4749.3671999999788</v>
      </c>
      <c r="F46" s="132">
        <f>+[2]Consolidado_Q1!O108</f>
        <v>6878.1308500000014</v>
      </c>
      <c r="G46" s="132">
        <f>+[2]Consolidado_Q1!P108</f>
        <v>15321.985400000063</v>
      </c>
      <c r="H46" s="132">
        <f>+[2]Consolidado_Q1!R108</f>
        <v>-72.929128102558778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B2" sqref="B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(janeiro-março)","TABLE II - Regional Gov. budget execution (january-march)")</f>
        <v>TABLE II - Regional Gov. budget execution (january-march)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f>+[2]Global_Est_Q2_3!D6</f>
        <v>2025</v>
      </c>
      <c r="E3" s="156">
        <f>+[2]Global_Est_Q2_3!E6</f>
        <v>2026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f>+[2]Global_Est_Q2_3!D8</f>
        <v>316631.57624000002</v>
      </c>
      <c r="E5" s="225">
        <f>+[2]Global_Est_Q2_3!E8</f>
        <v>317427.26660999999</v>
      </c>
      <c r="F5" s="225">
        <f>+[2]Global_Est_Q2_3!F8</f>
        <v>0.25129849001441773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f>+[2]Global_Est_Q2_3!D9</f>
        <v>240721.08604000002</v>
      </c>
      <c r="E6" s="231">
        <f>+[2]Global_Est_Q2_3!E9</f>
        <v>254453.83577000001</v>
      </c>
      <c r="F6" s="231">
        <f>+[2]Global_Est_Q2_3!F9</f>
        <v>5.7048387226526831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f>+[2]Global_Est_Q2_3!D10</f>
        <v>58341.29636</v>
      </c>
      <c r="E7" s="231">
        <f>+[2]Global_Est_Q2_3!E10</f>
        <v>60534.629080000006</v>
      </c>
      <c r="F7" s="231">
        <f>+[2]Global_Est_Q2_3!F10</f>
        <v>3.7594857448244756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f>+[2]Global_Est_Q2_3!D11</f>
        <v>182379.78968000002</v>
      </c>
      <c r="E8" s="231">
        <f>+[2]Global_Est_Q2_3!E11</f>
        <v>193919.20668999999</v>
      </c>
      <c r="F8" s="231">
        <f>+[2]Global_Est_Q2_3!F11</f>
        <v>6.3271358247790621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f>+[2]Global_Est_Q2_3!D12</f>
        <v>75910.490199999986</v>
      </c>
      <c r="E9" s="231">
        <f>+[2]Global_Est_Q2_3!E12</f>
        <v>62973.430840000001</v>
      </c>
      <c r="F9" s="231">
        <f>+[2]Global_Est_Q2_3!F12</f>
        <v>-17.042518531911664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f>+[2]Global_Est_Q2_3!D13</f>
        <v>35452.916669999999</v>
      </c>
      <c r="E10" s="232">
        <f>+[2]Global_Est_Q2_3!E13</f>
        <v>9045.7839999999997</v>
      </c>
      <c r="F10" s="232">
        <f>+[2]Global_Est_Q2_3!F13</f>
        <v>-74.485078098935432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f>+[2]Global_Est_Q2_3!D15</f>
        <v>352084.49291000003</v>
      </c>
      <c r="E12" s="232">
        <f>+[2]Global_Est_Q2_3!E15</f>
        <v>326473.05060999998</v>
      </c>
      <c r="F12" s="232">
        <f>+[2]Global_Est_Q2_3!F15</f>
        <v>-7.2742318437031717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f>+[2]Global_Est_Q2_3!D17</f>
        <v>307223.14763000014</v>
      </c>
      <c r="E14" s="232">
        <f>+[2]Global_Est_Q2_3!E17</f>
        <v>329690.72801000002</v>
      </c>
      <c r="F14" s="232">
        <f>+[2]Global_Est_Q2_3!F17</f>
        <v>7.3131144424893435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f>+[2]Global_Est_Q2_3!D18</f>
        <v>105557.30668000017</v>
      </c>
      <c r="E15" s="231">
        <f>+[2]Global_Est_Q2_3!E18</f>
        <v>113669.44981000008</v>
      </c>
      <c r="F15" s="231">
        <f>+[2]Global_Est_Q2_3!F18</f>
        <v>7.685060736337368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f>+[2]Global_Est_Q2_3!D19</f>
        <v>44531.961289999956</v>
      </c>
      <c r="E16" s="231">
        <f>+[2]Global_Est_Q2_3!E19</f>
        <v>57287.75443999999</v>
      </c>
      <c r="F16" s="231">
        <f>+[2]Global_Est_Q2_3!F19</f>
        <v>28.644130598542628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f>+[2]Global_Est_Q2_3!D20</f>
        <v>22587.187590000005</v>
      </c>
      <c r="E17" s="231">
        <f>+[2]Global_Est_Q2_3!E20</f>
        <v>22361.668519999999</v>
      </c>
      <c r="F17" s="231">
        <f>+[2]Global_Est_Q2_3!F20</f>
        <v>-0.99843802643162505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f>+[2]Global_Est_Q2_3!D21</f>
        <v>133200.86314999999</v>
      </c>
      <c r="E18" s="231">
        <f>+[2]Global_Est_Q2_3!E21</f>
        <v>134781.60710999998</v>
      </c>
      <c r="F18" s="231">
        <f>+[2]Global_Est_Q2_3!F21</f>
        <v>1.186737024534068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f>+[2]Global_Est_Q2_3!D22</f>
        <v>116607.05221999998</v>
      </c>
      <c r="E19" s="231">
        <f>+[2]Global_Est_Q2_3!E22</f>
        <v>120919.05516999999</v>
      </c>
      <c r="F19" s="231">
        <f>+[2]Global_Est_Q2_3!F22</f>
        <v>3.6978920810592619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f>+[2]Global_Est_Q2_3!D23</f>
        <v>16593.810929999992</v>
      </c>
      <c r="E20" s="231">
        <f>+[2]Global_Est_Q2_3!E23</f>
        <v>13862.551939999996</v>
      </c>
      <c r="F20" s="231">
        <f>+[2]Global_Est_Q2_3!F23</f>
        <v>-16.459504097772658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f>+[2]Global_Est_Q2_3!D24</f>
        <v>1103.2491500000001</v>
      </c>
      <c r="E21" s="231">
        <f>+[2]Global_Est_Q2_3!E24</f>
        <v>1215.9403800000002</v>
      </c>
      <c r="F21" s="231">
        <f>+[2]Global_Est_Q2_3!F24</f>
        <v>10.214486002549839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f>+[2]Global_Est_Q2_3!D25</f>
        <v>242.57977000000002</v>
      </c>
      <c r="E22" s="231">
        <f>+[2]Global_Est_Q2_3!E25</f>
        <v>374.30775000000011</v>
      </c>
      <c r="F22" s="231">
        <f>+[2]Global_Est_Q2_3!F25</f>
        <v>54.30295362222499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f>+[2]Global_Est_Q2_3!D26</f>
        <v>19722.58538</v>
      </c>
      <c r="E23" s="232">
        <f>+[2]Global_Est_Q2_3!E26</f>
        <v>15449.503769999996</v>
      </c>
      <c r="F23" s="232">
        <f>+[2]Global_Est_Q2_3!F26</f>
        <v>-21.665930341633565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f>+[2]Global_Est_Q2_3!D27</f>
        <v>12426.25351</v>
      </c>
      <c r="E24" s="231">
        <f>+[2]Global_Est_Q2_3!E27</f>
        <v>5662.1177599999946</v>
      </c>
      <c r="F24" s="231">
        <f>+[2]Global_Est_Q2_3!F27</f>
        <v>-54.434232687725078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f>+[2]Global_Est_Q2_3!D28</f>
        <v>7296.33187</v>
      </c>
      <c r="E25" s="231">
        <f>+[2]Global_Est_Q2_3!E28</f>
        <v>9787.3860100000002</v>
      </c>
      <c r="F25" s="231">
        <f>+[2]Global_Est_Q2_3!F28</f>
        <v>34.141184699154856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f>+[2]Global_Est_Q2_3!D29</f>
        <v>4325.6329500000002</v>
      </c>
      <c r="E26" s="231">
        <f>+[2]Global_Est_Q2_3!E29</f>
        <v>3111.3876100000002</v>
      </c>
      <c r="F26" s="231">
        <f>+[2]Global_Est_Q2_3!F29</f>
        <v>-28.070928671837493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f>+[2]Global_Est_Q2_3!D30</f>
        <v>2970.6989199999998</v>
      </c>
      <c r="E27" s="231">
        <f>+[2]Global_Est_Q2_3!E30</f>
        <v>6675.9984000000004</v>
      </c>
      <c r="F27" s="231">
        <f>+[2]Global_Est_Q2_3!F30</f>
        <v>124.7282063845097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f>+[2]Global_Est_Q2_3!D33</f>
        <v>326945.73301000014</v>
      </c>
      <c r="E29" s="235">
        <f>+[2]Global_Est_Q2_3!E33</f>
        <v>345140.23178000003</v>
      </c>
      <c r="F29" s="235">
        <f>+[2]Global_Est_Q2_3!F33</f>
        <v>5.5649904351078971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f>+[2]Global_Est_Q2_3!D35</f>
        <v>25138.759899999885</v>
      </c>
      <c r="E31" s="139">
        <f>+[2]Global_Est_Q2_3!E35</f>
        <v>-18667.181170000025</v>
      </c>
      <c r="F31" s="139">
        <f>+[2]Global_Est_Q2_3!F35</f>
        <v>-174.25657130366287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f>+[2]Global_Est_Q2_3!D37</f>
        <v>9408.4286099998862</v>
      </c>
      <c r="E33" s="19">
        <f>+[2]Global_Est_Q2_3!E37</f>
        <v>-12263.461400000029</v>
      </c>
      <c r="F33" s="19">
        <f>+[2]Global_Est_Q2_3!F37</f>
        <v>-230.34547965816131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f>+[2]Global_Est_Q2_3!D38</f>
        <v>15730.331289999998</v>
      </c>
      <c r="E34" s="19">
        <f>+[2]Global_Est_Q2_3!E38</f>
        <v>-6403.7197699999961</v>
      </c>
      <c r="F34" s="19">
        <f>+[2]Global_Est_Q2_3!F38</f>
        <v>-140.70937637575972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f>+[2]Global_Est_Q2_3!D39</f>
        <v>47725.94748999989</v>
      </c>
      <c r="E35" s="19">
        <f>+[2]Global_Est_Q2_3!E39</f>
        <v>3694.487349999974</v>
      </c>
      <c r="F35" s="19">
        <f>+[2]Global_Est_Q2_3!F39</f>
        <v>-92.258954417250521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f>+[2]Global_Est_Q2_3!D40</f>
        <v>608.14400000000001</v>
      </c>
      <c r="E36" s="106">
        <f>+[2]Global_Est_Q2_3!E40</f>
        <v>0</v>
      </c>
      <c r="F36" s="106">
        <f>+[2]Global_Est_Q2_3!F40</f>
        <v>-100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4"/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B2" sqref="B2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(março)","TABLE III - Regional Gov. budget execution (march)")</f>
        <v>TABLE III - Regional Gov. budget execution (march)</v>
      </c>
      <c r="D2" s="224"/>
      <c r="E2" s="225"/>
      <c r="F2" s="49" t="str">
        <f>+IF(Índice!$D$2=1,"€ Milhares","€ Thousands")</f>
        <v>€ Thousands</v>
      </c>
      <c r="G2"/>
      <c r="H2" s="290" t="str">
        <f>+IF(Índice!$D$2=1,"índice","Index")</f>
        <v>Index</v>
      </c>
      <c r="K2" s="18"/>
      <c r="Z2" s="7"/>
      <c r="AC2" s="18"/>
    </row>
    <row r="3" spans="2:29" ht="35.1" customHeight="1">
      <c r="C3" s="291"/>
      <c r="D3" s="292">
        <f>+[2]Global_Est_Q2_3!D54</f>
        <v>2025</v>
      </c>
      <c r="E3" s="292">
        <f>+[2]Global_Est_Q2_3!E54</f>
        <v>2026</v>
      </c>
      <c r="F3" s="292" t="str">
        <f>+[2]Global_Est_Q2_3!F54</f>
        <v>VH (%)</v>
      </c>
      <c r="G3"/>
      <c r="H3" s="23"/>
      <c r="Z3" s="7"/>
      <c r="AC3" s="18"/>
    </row>
    <row r="4" spans="2:29" ht="6.75" customHeight="1">
      <c r="C4" s="101"/>
      <c r="D4" s="293"/>
      <c r="E4" s="294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f>+[2]Global_Est_Q2_3!D56</f>
        <v>99288.550670000011</v>
      </c>
      <c r="E5" s="225">
        <f>+[2]Global_Est_Q2_3!E56</f>
        <v>97788.735239999965</v>
      </c>
      <c r="F5" s="225">
        <f>+[2]Global_Est_Q2_3!F56</f>
        <v>-1.5105623154727077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f>+[2]Global_Est_Q2_3!D57</f>
        <v>94027.947759999995</v>
      </c>
      <c r="E6" s="231">
        <f>+[2]Global_Est_Q2_3!E57</f>
        <v>93836.477679999967</v>
      </c>
      <c r="F6" s="231">
        <f>+[2]Global_Est_Q2_3!F57</f>
        <v>-0.2036310315830181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f>+[2]Global_Est_Q2_3!D58</f>
        <v>28481.152429999998</v>
      </c>
      <c r="E7" s="231">
        <f>+[2]Global_Est_Q2_3!E58</f>
        <v>25946.890330000006</v>
      </c>
      <c r="F7" s="231">
        <f>+[2]Global_Est_Q2_3!F58</f>
        <v>-8.8980321503092767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f>+[2]Global_Est_Q2_3!D59</f>
        <v>65546.795329999994</v>
      </c>
      <c r="E8" s="231">
        <f>+[2]Global_Est_Q2_3!E59</f>
        <v>67889.587349999958</v>
      </c>
      <c r="F8" s="231">
        <f>+[2]Global_Est_Q2_3!F59</f>
        <v>3.5742281650918528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f>+[2]Global_Est_Q2_3!D60</f>
        <v>5260.6029100000078</v>
      </c>
      <c r="E9" s="231">
        <f>+[2]Global_Est_Q2_3!E60</f>
        <v>3952.257559999995</v>
      </c>
      <c r="F9" s="231">
        <f>+[2]Global_Est_Q2_3!F60</f>
        <v>-24.870635027649534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f>+[2]Global_Est_Q2_3!D61</f>
        <v>2310.8202100000003</v>
      </c>
      <c r="E10" s="232">
        <f>+[2]Global_Est_Q2_3!E61</f>
        <v>2936.2948699999997</v>
      </c>
      <c r="F10" s="232">
        <f>+[2]Global_Est_Q2_3!F61</f>
        <v>27.067214372337478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f>+[2]Global_Est_Q2_3!D63</f>
        <v>101599.37088000002</v>
      </c>
      <c r="E12" s="232">
        <f>+[2]Global_Est_Q2_3!E63</f>
        <v>100725.03010999996</v>
      </c>
      <c r="F12" s="232">
        <f>+[2]Global_Est_Q2_3!F63</f>
        <v>-0.8605769528167162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5"/>
      <c r="M13" s="296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f>+[2]Global_Est_Q2_3!D65</f>
        <v>116987.86738999998</v>
      </c>
      <c r="E14" s="232">
        <f>+[2]Global_Est_Q2_3!E65</f>
        <v>128703.08717000009</v>
      </c>
      <c r="F14" s="232">
        <f>+[2]Global_Est_Q2_3!F65</f>
        <v>10.014046790805509</v>
      </c>
      <c r="G14"/>
      <c r="H14" s="23"/>
      <c r="K14" s="23"/>
      <c r="M14" s="297">
        <v>0</v>
      </c>
      <c r="N14" s="298"/>
      <c r="O14" s="298"/>
      <c r="P14" s="298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f>+[2]Global_Est_Q2_3!D66</f>
        <v>42728.131620000167</v>
      </c>
      <c r="E15" s="231">
        <f>+[2]Global_Est_Q2_3!E66</f>
        <v>46669.960810000091</v>
      </c>
      <c r="F15" s="231">
        <f>+[2]Global_Est_Q2_3!F66</f>
        <v>9.2253722326459897</v>
      </c>
      <c r="G15"/>
      <c r="H15" s="23"/>
      <c r="N15" s="298"/>
      <c r="O15" s="298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f>+[2]Global_Est_Q2_3!D67</f>
        <v>7470.4034499999661</v>
      </c>
      <c r="E16" s="231">
        <f>+[2]Global_Est_Q2_3!E67</f>
        <v>9611.3950699999932</v>
      </c>
      <c r="F16" s="231">
        <f>+[2]Global_Est_Q2_3!F67</f>
        <v>28.659651842499034</v>
      </c>
      <c r="G16"/>
      <c r="H16" s="23"/>
      <c r="I16" s="24"/>
      <c r="N16" s="298"/>
      <c r="O16" s="298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f>+[2]Global_Est_Q2_3!D68</f>
        <v>3722.6906900000013</v>
      </c>
      <c r="E17" s="231">
        <f>+[2]Global_Est_Q2_3!E68</f>
        <v>3516.236969999999</v>
      </c>
      <c r="F17" s="231">
        <f>+[2]Global_Est_Q2_3!F68</f>
        <v>-5.545819870412128</v>
      </c>
      <c r="G17"/>
      <c r="H17" s="23"/>
      <c r="I17" s="24"/>
      <c r="N17" s="298"/>
      <c r="O17" s="298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f>+[2]Global_Est_Q2_3!D69</f>
        <v>61858.296719999853</v>
      </c>
      <c r="E18" s="231">
        <f>+[2]Global_Est_Q2_3!E69</f>
        <v>68678.683739999993</v>
      </c>
      <c r="F18" s="231">
        <f>+[2]Global_Est_Q2_3!F69</f>
        <v>11.025824152372742</v>
      </c>
      <c r="G18"/>
      <c r="H18" s="23"/>
      <c r="I18" s="24"/>
      <c r="N18" s="298"/>
      <c r="O18" s="298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f>+[2]Global_Est_Q2_3!D70</f>
        <v>1082.3677000000002</v>
      </c>
      <c r="E19" s="231">
        <f>+[2]Global_Est_Q2_3!E70</f>
        <v>15.005800000000047</v>
      </c>
      <c r="F19" s="231">
        <f>+[2]Global_Est_Q2_3!F70</f>
        <v>-98.613613469803283</v>
      </c>
      <c r="G19"/>
      <c r="H19" s="23"/>
      <c r="I19" s="24"/>
      <c r="N19" s="298"/>
      <c r="O19" s="298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f>+[2]Global_Est_Q2_3!D71</f>
        <v>125.97721</v>
      </c>
      <c r="E20" s="231">
        <f>+[2]Global_Est_Q2_3!E71</f>
        <v>211.80478000000014</v>
      </c>
      <c r="F20" s="231">
        <f>+[2]Global_Est_Q2_3!F71</f>
        <v>68.129441825231837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f>+[2]Global_Est_Q2_3!D72</f>
        <v>11079.494120000001</v>
      </c>
      <c r="E21" s="232">
        <f>+[2]Global_Est_Q2_3!E72</f>
        <v>8648.7610099999911</v>
      </c>
      <c r="F21" s="232">
        <f>+[2]Global_Est_Q2_3!F72</f>
        <v>-21.939026129471063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f>+[2]Global_Est_Q2_3!D73</f>
        <v>7190.2125500000011</v>
      </c>
      <c r="E22" s="231">
        <f>+[2]Global_Est_Q2_3!E73</f>
        <v>4312.7389599999942</v>
      </c>
      <c r="F22" s="231">
        <f>+[2]Global_Est_Q2_3!F73</f>
        <v>-40.019311946487676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f>+[2]Global_Est_Q2_3!D74</f>
        <v>3889.2815699999996</v>
      </c>
      <c r="E23" s="231">
        <f>+[2]Global_Est_Q2_3!E74</f>
        <v>4336.0220499999969</v>
      </c>
      <c r="F23" s="231">
        <f>+[2]Global_Est_Q2_3!F74</f>
        <v>11.486452496675303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299">
        <f>+[2]Global_Est_Q2_3!D79</f>
        <v>128067.36150999999</v>
      </c>
      <c r="E25" s="299">
        <f>+[2]Global_Est_Q2_3!E79</f>
        <v>137351.84818000009</v>
      </c>
      <c r="F25" s="299">
        <f>+[2]Global_Est_Q2_3!F79</f>
        <v>7.2496899760639888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5" t="str">
        <f>+IF(Índice!$D$2=1,"Saldo global","Overall balance")</f>
        <v>Overall balance</v>
      </c>
      <c r="D27" s="286">
        <f>+[2]Global_Est_Q2_3!D81</f>
        <v>-26467.990629999971</v>
      </c>
      <c r="E27" s="286">
        <f>+[2]Global_Est_Q2_3!E81</f>
        <v>-36626.818070000125</v>
      </c>
      <c r="F27" s="286">
        <f>+[2]Global_Est_Q2_3!F81</f>
        <v>-38.381559000877452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f>+[2]Global_Est_Q2_3!D83</f>
        <v>-17699.316719999973</v>
      </c>
      <c r="E29" s="19">
        <f>+[2]Global_Est_Q2_3!E83</f>
        <v>-30914.351930000121</v>
      </c>
      <c r="F29" s="19">
        <f>+[2]Global_Est_Q2_3!F83</f>
        <v>-74.66409816299489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f>+[2]Global_Est_Q2_3!D84</f>
        <v>-8768.6739100000013</v>
      </c>
      <c r="E30" s="19">
        <f>+[2]Global_Est_Q2_3!E84</f>
        <v>-5712.4661399999914</v>
      </c>
      <c r="F30" s="19">
        <f>+[2]Global_Est_Q2_3!F84</f>
        <v>34.853705376301413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f>+[2]Global_Est_Q2_3!D85</f>
        <v>-22745.299939999968</v>
      </c>
      <c r="E31" s="19">
        <f>+[2]Global_Est_Q2_3!E85</f>
        <v>-33110.581100000127</v>
      </c>
      <c r="F31" s="19">
        <f>+[2]Global_Est_Q2_3!F85</f>
        <v>-45.571090235533603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1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4"/>
      <c r="E33" s="324"/>
      <c r="F33" s="324"/>
      <c r="G33" s="302"/>
      <c r="H33" s="302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B2" sqref="B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(janeiro-março)","TABLE IV - Regional Gov. tax revenue budget execution (january-march)")</f>
        <v>TABLE IV - Regional Gov. tax revenue budget execution (january-march)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f>+[2]R_Est_Q4_5!E165</f>
        <v>2025</v>
      </c>
      <c r="E3" s="156">
        <f>+[2]R_Est_Q4_5!F165</f>
        <v>2026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f>+[2]R_Est_Q4_5!E167</f>
        <v>240721.08604000002</v>
      </c>
      <c r="E5" s="33">
        <f>+[2]R_Est_Q4_5!F167</f>
        <v>254453.83577000001</v>
      </c>
      <c r="F5" s="270">
        <f>+[2]R_Est_Q4_5!H167</f>
        <v>0.18900410395891129</v>
      </c>
      <c r="G5" s="270">
        <f>+[2]R_Est_Q4_5!G167</f>
        <v>5.7048387226526831E-2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f>+[2]R_Est_Q4_5!E169</f>
        <v>58341.29636</v>
      </c>
      <c r="E7" s="70">
        <f>+[2]R_Est_Q4_5!F169</f>
        <v>60534.629080000006</v>
      </c>
      <c r="F7" s="271">
        <f>+[2]R_Est_Q4_5!H169</f>
        <v>0.12449098526224386</v>
      </c>
      <c r="G7" s="271">
        <f>+[2]R_Est_Q4_5!G169</f>
        <v>3.7594857448244756E-2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f>+[2]R_Est_Q4_5!E170</f>
        <v>52666.920389999999</v>
      </c>
      <c r="E8" s="70">
        <f>+[2]R_Est_Q4_5!F170</f>
        <v>52265.89834</v>
      </c>
      <c r="F8" s="271">
        <f>+[2]R_Est_Q4_5!H170</f>
        <v>0.19525805896741341</v>
      </c>
      <c r="G8" s="271">
        <f>+[2]R_Est_Q4_5!G170</f>
        <v>-7.6143060393586426E-3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f>+[2]R_Est_Q4_5!E171</f>
        <v>5674.3759700000001</v>
      </c>
      <c r="E9" s="70">
        <f>+[2]R_Est_Q4_5!F171</f>
        <v>8268.7307400000009</v>
      </c>
      <c r="F9" s="271">
        <f>+[2]R_Est_Q4_5!H171</f>
        <v>3.7829117243329324E-2</v>
      </c>
      <c r="G9" s="271">
        <f>+[2]R_Est_Q4_5!G171</f>
        <v>0.45720530040944762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f>+[2]R_Est_Q4_5!E172</f>
        <v>0</v>
      </c>
      <c r="E10" s="70">
        <f>+[2]R_Est_Q4_5!F172</f>
        <v>0</v>
      </c>
      <c r="F10" s="271">
        <f>+[2]R_Est_Q4_5!H172</f>
        <v>0</v>
      </c>
      <c r="G10" s="271">
        <f>+[2]R_Est_Q4_5!G172</f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f>+[2]R_Est_Q4_5!E173</f>
        <v>182379.78968000002</v>
      </c>
      <c r="E11" s="70">
        <f>+[2]R_Est_Q4_5!F173</f>
        <v>193919.20668999999</v>
      </c>
      <c r="F11" s="271">
        <f>+[2]R_Est_Q4_5!H173</f>
        <v>0.22547952403426505</v>
      </c>
      <c r="G11" s="271">
        <f>+[2]R_Est_Q4_5!G173</f>
        <v>6.3271358247790621E-2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f>+[2]R_Est_Q4_5!E174</f>
        <v>7162.0215900000003</v>
      </c>
      <c r="E12" s="70">
        <f>+[2]R_Est_Q4_5!F174</f>
        <v>10446.91438</v>
      </c>
      <c r="F12" s="271">
        <f>+[2]R_Est_Q4_5!H174</f>
        <v>0.16715063008</v>
      </c>
      <c r="G12" s="271">
        <f>+[2]R_Est_Q4_5!G174</f>
        <v>0.45865441045116984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f>+[2]R_Est_Q4_5!E175</f>
        <v>150227.23803000001</v>
      </c>
      <c r="E13" s="70">
        <f>+[2]R_Est_Q4_5!F175</f>
        <v>160381.36464999997</v>
      </c>
      <c r="F13" s="271">
        <f>+[2]R_Est_Q4_5!H175</f>
        <v>0.24702749293410034</v>
      </c>
      <c r="G13" s="271">
        <f>+[2]R_Est_Q4_5!G175</f>
        <v>6.7591781311803212E-2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f>+[2]R_Est_Q4_5!E176</f>
        <v>1322.4247800000001</v>
      </c>
      <c r="E14" s="70">
        <f>+[2]R_Est_Q4_5!F176</f>
        <v>801.89543999999989</v>
      </c>
      <c r="F14" s="271">
        <f>+[2]R_Est_Q4_5!H176</f>
        <v>0.10870210654737697</v>
      </c>
      <c r="G14" s="271">
        <f>+[2]R_Est_Q4_5!G176</f>
        <v>-0.39361735190715352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f>+[2]R_Est_Q4_5!E177</f>
        <v>7845.9528499999997</v>
      </c>
      <c r="E15" s="70">
        <f>+[2]R_Est_Q4_5!F177</f>
        <v>5787.1792999999998</v>
      </c>
      <c r="F15" s="271">
        <f>+[2]R_Est_Q4_5!H177</f>
        <v>0.11103394146979249</v>
      </c>
      <c r="G15" s="271">
        <f>+[2]R_Est_Q4_5!G177</f>
        <v>-0.2623994292802817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f>+[2]R_Est_Q4_5!E178</f>
        <v>2150.88429</v>
      </c>
      <c r="E16" s="70">
        <f>+[2]R_Est_Q4_5!F178</f>
        <v>1697.7667299999998</v>
      </c>
      <c r="F16" s="271">
        <f>+[2]R_Est_Q4_5!H178</f>
        <v>0.14239588156000102</v>
      </c>
      <c r="G16" s="271">
        <f>+[2]R_Est_Q4_5!G178</f>
        <v>-0.2106657071729322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f>+[2]R_Est_Q4_5!E179</f>
        <v>13671.26814</v>
      </c>
      <c r="E17" s="70">
        <f>+[2]R_Est_Q4_5!F179</f>
        <v>14804.08619</v>
      </c>
      <c r="F17" s="271">
        <f>+[2]R_Est_Q4_5!H179</f>
        <v>0.19259965490984718</v>
      </c>
      <c r="G17" s="271">
        <f>+[2]R_Est_Q4_5!G179</f>
        <v>8.2861226800573951E-2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f>+[2]R_Est_Q4_5!E180</f>
        <v>7800.8374799999992</v>
      </c>
      <c r="E18" s="70">
        <f>+[2]R_Est_Q4_5!F180</f>
        <v>7365.4061499999998</v>
      </c>
      <c r="F18" s="271">
        <f>+[2]R_Est_Q4_5!H180</f>
        <v>0.16767721582384959</v>
      </c>
      <c r="G18" s="271">
        <f>+[2]R_Est_Q4_5!G180</f>
        <v>-5.5818536293874899E-2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f>+[2]R_Est_Q4_5!E181</f>
        <v>1499.3128599999998</v>
      </c>
      <c r="E19" s="70">
        <f>+[2]R_Est_Q4_5!F181</f>
        <v>1679.8377800000001</v>
      </c>
      <c r="F19" s="271">
        <f>+[2]R_Est_Q4_5!H181</f>
        <v>0.16639965330057852</v>
      </c>
      <c r="G19" s="271">
        <f>+[2]R_Est_Q4_5!G181</f>
        <v>0.12040510344185296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f>+[2]R_Est_Q4_5!E183</f>
        <v>111363.40686999998</v>
      </c>
      <c r="E21" s="33">
        <f>+[2]R_Est_Q4_5!F183</f>
        <v>72019.214840000001</v>
      </c>
      <c r="F21" s="270">
        <f>+[2]R_Est_Q4_5!H183</f>
        <v>0.11201182254283314</v>
      </c>
      <c r="G21" s="270">
        <f>+[2]R_Est_Q4_5!G183</f>
        <v>-0.35329551363248435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Effective revenue</v>
      </c>
      <c r="D23" s="139">
        <f>+[2]R_Est_Q4_5!E185</f>
        <v>352084.49291000003</v>
      </c>
      <c r="E23" s="139">
        <f>+[2]R_Est_Q4_5!F185</f>
        <v>326473.05061000003</v>
      </c>
      <c r="F23" s="274">
        <f>+[2]R_Est_Q4_5!H185</f>
        <v>0.16411881228443514</v>
      </c>
      <c r="G23" s="274">
        <f>+[2]R_Est_Q4_5!G185</f>
        <v>-7.2742318437031495E-2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B2" sqref="B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(janeiro-março)","TABLE V - Regional Gov. non-tax revenue budget execution (january-march)")</f>
        <v>TABLE V - Regional Gov. non-tax revenue budget execution (january-march)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f>+[2]R_Est_Q4_5!E197</f>
        <v>2025</v>
      </c>
      <c r="E3" s="156">
        <f>+[2]R_Est_Q4_5!F197</f>
        <v>2026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f>+[2]R_Est_Q4_5!E199</f>
        <v>240721.08604000002</v>
      </c>
      <c r="E5" s="41">
        <f>+[2]R_Est_Q4_5!F199</f>
        <v>254453.83577000001</v>
      </c>
      <c r="F5" s="275">
        <f>+[2]R_Est_Q4_5!H199</f>
        <v>0.18900410395891129</v>
      </c>
      <c r="G5" s="42">
        <f>+[2]R_Est_Q4_5!G199</f>
        <v>5.7048387226526831E-2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f>+[2]R_Est_Q4_5!E201</f>
        <v>111363.40686999998</v>
      </c>
      <c r="E7" s="41">
        <f>+[2]R_Est_Q4_5!F201</f>
        <v>72019.214840000001</v>
      </c>
      <c r="F7" s="275">
        <f>+[2]R_Est_Q4_5!H201</f>
        <v>0.11201182254283314</v>
      </c>
      <c r="G7" s="42">
        <f>+[2]R_Est_Q4_5!G201</f>
        <v>-0.35329551363248435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f>+[2]R_Est_Q4_5!E202</f>
        <v>75910.490199999986</v>
      </c>
      <c r="E8" s="41">
        <f>+[2]R_Est_Q4_5!F202</f>
        <v>62973.430840000001</v>
      </c>
      <c r="F8" s="275">
        <f>+[2]R_Est_Q4_5!H202</f>
        <v>0.15290818779755361</v>
      </c>
      <c r="G8" s="42">
        <f>+[2]R_Est_Q4_5!G202</f>
        <v>-0.17042518531911666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f>+[2]R_Est_Q4_5!E203</f>
        <v>0</v>
      </c>
      <c r="E9" s="71">
        <f>+[2]R_Est_Q4_5!F203</f>
        <v>0</v>
      </c>
      <c r="F9" s="277">
        <f>+[2]R_Est_Q4_5!H203</f>
        <v>0</v>
      </c>
      <c r="G9" s="43">
        <f>+[2]R_Est_Q4_5!G203</f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f>+[2]R_Est_Q4_5!E204</f>
        <v>9190.5901199999989</v>
      </c>
      <c r="E10" s="71">
        <f>+[2]R_Est_Q4_5!F204</f>
        <v>4798.4924999999994</v>
      </c>
      <c r="F10" s="277">
        <f>+[2]R_Est_Q4_5!H204</f>
        <v>9.9599552508069455E-2</v>
      </c>
      <c r="G10" s="43">
        <f>+[2]R_Est_Q4_5!G204</f>
        <v>-0.47789070806695921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f>+[2]R_Est_Q4_5!E205</f>
        <v>312.80684000000002</v>
      </c>
      <c r="E11" s="71">
        <f>+[2]R_Est_Q4_5!F205</f>
        <v>311.08877000000001</v>
      </c>
      <c r="F11" s="277">
        <f>+[2]R_Est_Q4_5!H205</f>
        <v>5.1018850924128903E-2</v>
      </c>
      <c r="G11" s="43">
        <f>+[2]R_Est_Q4_5!G205</f>
        <v>-5.4924310478633442E-3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f>+[2]R_Est_Q4_5!E206</f>
        <v>62821.141929999998</v>
      </c>
      <c r="E12" s="71">
        <f>+[2]R_Est_Q4_5!F206</f>
        <v>54311.77448</v>
      </c>
      <c r="F12" s="277">
        <f>+[2]R_Est_Q4_5!H206</f>
        <v>0.16045667568158906</v>
      </c>
      <c r="G12" s="43">
        <f>+[2]R_Est_Q4_5!G206</f>
        <v>-0.13545388047039597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f>+[2]R_Est_Q4_5!E207</f>
        <v>3046.2222199999997</v>
      </c>
      <c r="E13" s="47">
        <f>+[2]R_Est_Q4_5!F207</f>
        <v>3029.6877400000003</v>
      </c>
      <c r="F13" s="277">
        <f>+[2]R_Est_Q4_5!H207</f>
        <v>0.18312603948338385</v>
      </c>
      <c r="G13" s="43">
        <f>+[2]R_Est_Q4_5!G207</f>
        <v>-5.4278640249690868E-3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f>+[2]R_Est_Q4_5!E208</f>
        <v>539.72909000000004</v>
      </c>
      <c r="E14" s="71">
        <f>+[2]R_Est_Q4_5!F208</f>
        <v>522.38734999999997</v>
      </c>
      <c r="F14" s="277">
        <f>+[2]R_Est_Q4_5!H208</f>
        <v>0.20598488513816973</v>
      </c>
      <c r="G14" s="43">
        <f>+[2]R_Est_Q4_5!G208</f>
        <v>-3.213045270544912E-2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f>+[2]R_Est_Q4_5!E209</f>
        <v>0</v>
      </c>
      <c r="E15" s="71">
        <f>+[2]R_Est_Q4_5!F209</f>
        <v>0</v>
      </c>
      <c r="F15" s="277">
        <f>+[2]R_Est_Q4_5!H209</f>
        <v>0</v>
      </c>
      <c r="G15" s="43">
        <f>+[2]R_Est_Q4_5!G209</f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f>+[2]R_Est_Q4_5!E211</f>
        <v>35452.916669999999</v>
      </c>
      <c r="E17" s="41">
        <f>+[2]R_Est_Q4_5!F211</f>
        <v>9045.7839999999997</v>
      </c>
      <c r="F17" s="275">
        <f>+[2]R_Est_Q4_5!H211</f>
        <v>3.9138457946096467E-2</v>
      </c>
      <c r="G17" s="42">
        <f>+[2]R_Est_Q4_5!G211</f>
        <v>-0.74485078098935431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f>+[2]R_Est_Q4_5!E212</f>
        <v>19.8948</v>
      </c>
      <c r="E18" s="71">
        <f>+[2]R_Est_Q4_5!F212</f>
        <v>365.03</v>
      </c>
      <c r="F18" s="277">
        <f>+[2]R_Est_Q4_5!H212</f>
        <v>3.9954794591769434E-2</v>
      </c>
      <c r="G18" s="43">
        <f>+[2]R_Est_Q4_5!G212</f>
        <v>17.348010535416289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f>+[2]R_Est_Q4_5!E213</f>
        <v>33933.603470000002</v>
      </c>
      <c r="E19" s="44">
        <f>+[2]R_Est_Q4_5!F213</f>
        <v>6319.8085499999988</v>
      </c>
      <c r="F19" s="277">
        <f>+[2]R_Est_Q4_5!H213</f>
        <v>2.9015038564404048E-2</v>
      </c>
      <c r="G19" s="43">
        <f>+[2]R_Est_Q4_5!G213</f>
        <v>-0.81375958036442519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f>+[2]R_Est_Q4_5!E214</f>
        <v>3.1110000000000002</v>
      </c>
      <c r="E20" s="71">
        <f>+[2]R_Est_Q4_5!F214</f>
        <v>0.32080999999999998</v>
      </c>
      <c r="F20" s="277">
        <f>+[2]R_Est_Q4_5!H214</f>
        <v>1.4339158807491171E-2</v>
      </c>
      <c r="G20" s="43">
        <f>+[2]R_Est_Q4_5!G214</f>
        <v>-0.89687881710061079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f>+[2]R_Est_Q4_5!E216</f>
        <v>1496.3073999999999</v>
      </c>
      <c r="E21" s="47">
        <f>+[2]R_Est_Q4_5!F216</f>
        <v>2360.62464</v>
      </c>
      <c r="F21" s="277">
        <f>+[2]R_Est_Q4_5!H216</f>
        <v>0.56845304893157911</v>
      </c>
      <c r="G21" s="43">
        <f>+[2]R_Est_Q4_5!G216</f>
        <v>0.57763347290804035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Effective revenue</v>
      </c>
      <c r="D23" s="286">
        <f>+[2]R_Est_Q4_5!E218</f>
        <v>352084.49291000003</v>
      </c>
      <c r="E23" s="286">
        <f>+[2]R_Est_Q4_5!F218</f>
        <v>326473.05061000003</v>
      </c>
      <c r="F23" s="287">
        <f>+[2]R_Est_Q4_5!H218</f>
        <v>0.16411881228443514</v>
      </c>
      <c r="G23" s="287">
        <f>+[2]R_Est_Q4_5!G218</f>
        <v>-7.2742318437031495E-2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C48" sqref="C48:G50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(janeiro-março)","TABLE VI - Regional Gov. expenditure budget execution (january-march)")</f>
        <v>TABLE VI - Regional Gov. expenditure budget execution (january-march)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6">
        <f>+'[2]D_Est ECO_Q6'!F6</f>
        <v>2025</v>
      </c>
      <c r="E3" s="328">
        <f>+'[2]D_Est ECO_Q6'!H6</f>
        <v>2026</v>
      </c>
      <c r="F3" s="153">
        <f>+'[2]D_Est ECO_Q6'!I6</f>
        <v>2025</v>
      </c>
      <c r="G3" s="153">
        <f>+'[2]D_Est ECO_Q6'!J6</f>
        <v>2026</v>
      </c>
      <c r="H3" s="329" t="str">
        <f>+IF(Índice!$D$2=1,"VH (%)","yoy change (%)")</f>
        <v>yoy change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Execution level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f>+'[2]D_Est ECO_Q6'!F8</f>
        <v>307223.14763000014</v>
      </c>
      <c r="E5" s="253">
        <f>+'[2]D_Est ECO_Q6'!H8</f>
        <v>329690.72801000002</v>
      </c>
      <c r="F5" s="253">
        <f>+'[2]D_Est ECO_Q6'!I8</f>
        <v>19.112228372189087</v>
      </c>
      <c r="G5" s="253">
        <f>+'[2]D_Est ECO_Q6'!J8</f>
        <v>18.950366220752105</v>
      </c>
      <c r="H5" s="253">
        <f>+'[2]D_Est ECO_Q6'!L8</f>
        <v>7.3131144424893391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f>+'[2]D_Est ECO_Q6'!F9</f>
        <v>105557.30668000017</v>
      </c>
      <c r="E6" s="74">
        <f>+'[2]D_Est ECO_Q6'!H9</f>
        <v>113669.44981000008</v>
      </c>
      <c r="F6" s="74">
        <f>+'[2]D_Est ECO_Q6'!I9</f>
        <v>21.672128355506644</v>
      </c>
      <c r="G6" s="74">
        <f>+'[2]D_Est ECO_Q6'!J9</f>
        <v>21.275734200372785</v>
      </c>
      <c r="H6" s="254">
        <f>+'[2]D_Est ECO_Q6'!L9</f>
        <v>7.6850607363373626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f>+'[2]D_Est ECO_Q6'!F10</f>
        <v>83102.414619999981</v>
      </c>
      <c r="E7" s="75">
        <f>+'[2]D_Est ECO_Q6'!H10</f>
        <v>86403.021180000054</v>
      </c>
      <c r="F7" s="75">
        <f>+'[2]D_Est ECO_Q6'!I10</f>
        <v>21.803728491909304</v>
      </c>
      <c r="G7" s="75">
        <f>+'[2]D_Est ECO_Q6'!J10</f>
        <v>20.60662091237786</v>
      </c>
      <c r="H7" s="254">
        <f>+'[2]D_Est ECO_Q6'!L10</f>
        <v>3.9717336434719273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f>+'[2]D_Est ECO_Q6'!F11</f>
        <v>9248.7282300000024</v>
      </c>
      <c r="E8" s="75">
        <f>+'[2]D_Est ECO_Q6'!H11</f>
        <v>9580.0019200000061</v>
      </c>
      <c r="F8" s="75">
        <f>+'[2]D_Est ECO_Q6'!I11</f>
        <v>62.996640012358597</v>
      </c>
      <c r="G8" s="75">
        <f>+'[2]D_Est ECO_Q6'!J11</f>
        <v>59.472498413704933</v>
      </c>
      <c r="H8" s="254">
        <f>+'[2]D_Est ECO_Q6'!L11</f>
        <v>3.5818296501075104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f>+'[2]D_Est ECO_Q6'!F12</f>
        <v>13206.163829999992</v>
      </c>
      <c r="E9" s="75">
        <f>+'[2]D_Est ECO_Q6'!H12</f>
        <v>17686.426710000007</v>
      </c>
      <c r="F9" s="75">
        <f>+'[2]D_Est ECO_Q6'!I12</f>
        <v>14.473311357538657</v>
      </c>
      <c r="G9" s="75">
        <f>+'[2]D_Est ECO_Q6'!J12</f>
        <v>17.889946136336739</v>
      </c>
      <c r="H9" s="254">
        <f>+'[2]D_Est ECO_Q6'!L12</f>
        <v>33.925543690608734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f>+'[2]D_Est ECO_Q6'!F13</f>
        <v>44531.961289999956</v>
      </c>
      <c r="E10" s="75">
        <f>+'[2]D_Est ECO_Q6'!H13</f>
        <v>57287.75443999999</v>
      </c>
      <c r="F10" s="75">
        <f>+'[2]D_Est ECO_Q6'!I13</f>
        <v>19.994304451390555</v>
      </c>
      <c r="G10" s="75">
        <f>+'[2]D_Est ECO_Q6'!J13</f>
        <v>24.328561726067715</v>
      </c>
      <c r="H10" s="254">
        <f>+'[2]D_Est ECO_Q6'!L13</f>
        <v>28.64413059854262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f>+'[2]D_Est ECO_Q6'!F14</f>
        <v>22587.187590000005</v>
      </c>
      <c r="E11" s="75">
        <f>+'[2]D_Est ECO_Q6'!H14</f>
        <v>22361.668519999999</v>
      </c>
      <c r="F11" s="75">
        <f>+'[2]D_Est ECO_Q6'!I14</f>
        <v>16.491724504288229</v>
      </c>
      <c r="G11" s="75">
        <f>+'[2]D_Est ECO_Q6'!J14</f>
        <v>17.169249619268047</v>
      </c>
      <c r="H11" s="254">
        <f>+'[2]D_Est ECO_Q6'!L14</f>
        <v>-0.99843802643162838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f>+'[2]D_Est ECO_Q6'!F15</f>
        <v>133200.86314999999</v>
      </c>
      <c r="E12" s="74">
        <f>+'[2]D_Est ECO_Q6'!H15</f>
        <v>134781.60710999998</v>
      </c>
      <c r="F12" s="74">
        <f>+'[2]D_Est ECO_Q6'!I15</f>
        <v>17.933398824371</v>
      </c>
      <c r="G12" s="74">
        <f>+'[2]D_Est ECO_Q6'!J15</f>
        <v>16.401871252064076</v>
      </c>
      <c r="H12" s="254">
        <f>+'[2]D_Est ECO_Q6'!L15</f>
        <v>1.186737024534058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f>+'[2]D_Est ECO_Q6'!F16</f>
        <v>116607.05221999998</v>
      </c>
      <c r="E13" s="74">
        <f>+'[2]D_Est ECO_Q6'!H16</f>
        <v>120919.05516999999</v>
      </c>
      <c r="F13" s="74">
        <f>+'[2]D_Est ECO_Q6'!I16</f>
        <v>18.571512612337994</v>
      </c>
      <c r="G13" s="74">
        <f>+'[2]D_Est ECO_Q6'!J16</f>
        <v>17.597807630472794</v>
      </c>
      <c r="H13" s="254">
        <f>+'[2]D_Est ECO_Q6'!L16</f>
        <v>3.6978920810592544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f>+'[2]D_Est ECO_Q6'!F17</f>
        <v>0</v>
      </c>
      <c r="E14" s="75">
        <f>+'[2]D_Est ECO_Q6'!H17</f>
        <v>0</v>
      </c>
      <c r="F14" s="74">
        <f>+'[2]D_Est ECO_Q6'!I17</f>
        <v>0</v>
      </c>
      <c r="G14" s="74">
        <f>+'[2]D_Est ECO_Q6'!J17</f>
        <v>0</v>
      </c>
      <c r="H14" s="254">
        <f>+'[2]D_Est ECO_Q6'!L17</f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f>+'[2]D_Est ECO_Q6'!F18</f>
        <v>116607.05221999998</v>
      </c>
      <c r="E15" s="75">
        <f>+'[2]D_Est ECO_Q6'!H18</f>
        <v>120919.05516999999</v>
      </c>
      <c r="F15" s="75">
        <f>+'[2]D_Est ECO_Q6'!I18</f>
        <v>18.589495695043972</v>
      </c>
      <c r="G15" s="75">
        <f>+'[2]D_Est ECO_Q6'!J18</f>
        <v>17.626759996065815</v>
      </c>
      <c r="H15" s="254">
        <f>+'[2]D_Est ECO_Q6'!L18</f>
        <v>3.6978920810592544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f>+'[2]D_Est ECO_Q6'!F19</f>
        <v>0</v>
      </c>
      <c r="E16" s="75">
        <f>+'[2]D_Est ECO_Q6'!H19</f>
        <v>0</v>
      </c>
      <c r="F16" s="75">
        <f>+'[2]D_Est ECO_Q6'!I19</f>
        <v>0</v>
      </c>
      <c r="G16" s="75">
        <f>+'[2]D_Est ECO_Q6'!J19</f>
        <v>0</v>
      </c>
      <c r="H16" s="254" t="str">
        <f>+'[2]D_Est ECO_Q6'!L19</f>
        <v>-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f>+'[2]D_Est ECO_Q6'!F20</f>
        <v>0</v>
      </c>
      <c r="E17" s="72">
        <f>+'[2]D_Est ECO_Q6'!H20</f>
        <v>0</v>
      </c>
      <c r="F17" s="72">
        <f>+'[2]D_Est ECO_Q6'!I20</f>
        <v>0</v>
      </c>
      <c r="G17" s="72">
        <f>+'[2]D_Est ECO_Q6'!J20</f>
        <v>0</v>
      </c>
      <c r="H17" s="77" t="str">
        <f>+'[2]D_Est ECO_Q6'!L20</f>
        <v>-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f>+'[2]D_Est ECO_Q6'!F21</f>
        <v>16593.810929999992</v>
      </c>
      <c r="E18" s="75">
        <f>+'[2]D_Est ECO_Q6'!H21</f>
        <v>13862.551939999996</v>
      </c>
      <c r="F18" s="72">
        <f>+'[2]D_Est ECO_Q6'!I21</f>
        <v>14.445511447967563</v>
      </c>
      <c r="G18" s="72">
        <f>+'[2]D_Est ECO_Q6'!J21</f>
        <v>10.297571200371841</v>
      </c>
      <c r="H18" s="77">
        <f>+'[2]D_Est ECO_Q6'!L21</f>
        <v>-16.459504097772662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f>+'[2]D_Est ECO_Q6'!F27</f>
        <v>1103.2491500000001</v>
      </c>
      <c r="E19" s="72">
        <f>+'[2]D_Est ECO_Q6'!H27</f>
        <v>1215.9403800000002</v>
      </c>
      <c r="F19" s="72">
        <f>+'[2]D_Est ECO_Q6'!I27</f>
        <v>9.710411241183829</v>
      </c>
      <c r="G19" s="72">
        <f>+'[2]D_Est ECO_Q6'!J27</f>
        <v>10.271420213422873</v>
      </c>
      <c r="H19" s="77">
        <f>+'[2]D_Est ECO_Q6'!L27</f>
        <v>10.214486002549842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f>+'[2]D_Est ECO_Q6'!F28</f>
        <v>242.57977000000002</v>
      </c>
      <c r="E20" s="72">
        <f>+'[2]D_Est ECO_Q6'!H28</f>
        <v>374.30775000000011</v>
      </c>
      <c r="F20" s="72">
        <f>+'[2]D_Est ECO_Q6'!I28</f>
        <v>3.6722756549753122</v>
      </c>
      <c r="G20" s="72">
        <f>+'[2]D_Est ECO_Q6'!J28</f>
        <v>6.0471341975564155</v>
      </c>
      <c r="H20" s="77">
        <f>+'[2]D_Est ECO_Q6'!L28</f>
        <v>54.302953622225004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f>+'[2]D_Est ECO_Q6'!F30</f>
        <v>284635.96004000015</v>
      </c>
      <c r="E22" s="78">
        <f>+'[2]D_Est ECO_Q6'!H30</f>
        <v>307329.05949000001</v>
      </c>
      <c r="F22" s="78">
        <f>+'[2]D_Est ECO_Q6'!I30</f>
        <v>19.356297821675163</v>
      </c>
      <c r="G22" s="78">
        <f>+'[2]D_Est ECO_Q6'!J30</f>
        <v>19.094494693707372</v>
      </c>
      <c r="H22" s="76">
        <f>+'[2]D_Est ECO_Q6'!L30</f>
        <v>7.9726747972430401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f>+'[2]D_Est ECO_Q6'!F32</f>
        <v>19722.58538</v>
      </c>
      <c r="E24" s="78">
        <f>+'[2]D_Est ECO_Q6'!H32</f>
        <v>15449.503769999996</v>
      </c>
      <c r="F24" s="78">
        <f>+'[2]D_Est ECO_Q6'!I32</f>
        <v>5.8386714318387352</v>
      </c>
      <c r="G24" s="78">
        <f>+'[2]D_Est ECO_Q6'!J32</f>
        <v>4.1250916550712482</v>
      </c>
      <c r="H24" s="76">
        <f>+'[2]D_Est ECO_Q6'!L32</f>
        <v>-21.665930341633562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f>+'[2]D_Est ECO_Q6'!F33</f>
        <v>12426.25351</v>
      </c>
      <c r="E25" s="72">
        <f>+'[2]D_Est ECO_Q6'!H33</f>
        <v>5662.1177599999946</v>
      </c>
      <c r="F25" s="72">
        <f>+'[2]D_Est ECO_Q6'!I33</f>
        <v>6.9364370072029571</v>
      </c>
      <c r="G25" s="72">
        <f>+'[2]D_Est ECO_Q6'!J33</f>
        <v>2.8454709627888457</v>
      </c>
      <c r="H25" s="77">
        <f>+'[2]D_Est ECO_Q6'!L33</f>
        <v>-54.434232687725078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f>+'[2]D_Est ECO_Q6'!F34</f>
        <v>7296.33187</v>
      </c>
      <c r="E26" s="59">
        <f>+'[2]D_Est ECO_Q6'!H34</f>
        <v>9787.3860100000002</v>
      </c>
      <c r="F26" s="59">
        <f>+'[2]D_Est ECO_Q6'!I34</f>
        <v>4.6577960477589286</v>
      </c>
      <c r="G26" s="59">
        <f>+'[2]D_Est ECO_Q6'!J34</f>
        <v>5.5849397400095393</v>
      </c>
      <c r="H26" s="77">
        <f>+'[2]D_Est ECO_Q6'!L34</f>
        <v>34.14118469915487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f>+'[2]D_Est ECO_Q6'!F35</f>
        <v>4325.6329500000002</v>
      </c>
      <c r="E27" s="59">
        <f>+'[2]D_Est ECO_Q6'!H35</f>
        <v>3111.3876100000002</v>
      </c>
      <c r="F27" s="59">
        <f>+'[2]D_Est ECO_Q6'!I35</f>
        <v>4.084860257311373</v>
      </c>
      <c r="G27" s="59">
        <f>+'[2]D_Est ECO_Q6'!J35</f>
        <v>3.1473165256817204</v>
      </c>
      <c r="H27" s="77">
        <f>+'[2]D_Est ECO_Q6'!L35</f>
        <v>-28.070928671837493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f>+'[2]D_Est ECO_Q6'!F36</f>
        <v>940.46577000000002</v>
      </c>
      <c r="E28" s="72">
        <f>+'[2]D_Est ECO_Q6'!H36</f>
        <v>796.89015000000006</v>
      </c>
      <c r="F28" s="72">
        <f>+'[2]D_Est ECO_Q6'!I36</f>
        <v>8.5821723404905743</v>
      </c>
      <c r="G28" s="72">
        <f>+'[2]D_Est ECO_Q6'!J36</f>
        <v>8.1200290445688026</v>
      </c>
      <c r="H28" s="77">
        <f>+'[2]D_Est ECO_Q6'!L36</f>
        <v>-15.266437607824892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f>+'[2]D_Est ECO_Q6'!F37</f>
        <v>3385.1671800000004</v>
      </c>
      <c r="E29" s="72">
        <f>+'[2]D_Est ECO_Q6'!H37</f>
        <v>2314.49746</v>
      </c>
      <c r="F29" s="72">
        <f>+'[2]D_Est ECO_Q6'!I37</f>
        <v>3.9607790847963265</v>
      </c>
      <c r="G29" s="72">
        <f>+'[2]D_Est ECO_Q6'!J37</f>
        <v>2.6912963322957051</v>
      </c>
      <c r="H29" s="77">
        <f>+'[2]D_Est ECO_Q6'!L37</f>
        <v>-31.62826717468058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f>+'[2]D_Est ECO_Q6'!F38</f>
        <v>0</v>
      </c>
      <c r="E30" s="72">
        <f>+'[2]D_Est ECO_Q6'!H38</f>
        <v>0</v>
      </c>
      <c r="F30" s="72">
        <f>+'[2]D_Est ECO_Q6'!I38</f>
        <v>0</v>
      </c>
      <c r="G30" s="72">
        <f>+'[2]D_Est ECO_Q6'!J38</f>
        <v>0</v>
      </c>
      <c r="H30" s="77" t="str">
        <f>+'[2]D_Est ECO_Q6'!L38</f>
        <v>-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f>+'[2]D_Est ECO_Q6'!F46</f>
        <v>0</v>
      </c>
      <c r="E31" s="75">
        <f>+'[2]D_Est ECO_Q6'!H46</f>
        <v>0</v>
      </c>
      <c r="F31" s="75">
        <f>+'[2]D_Est ECO_Q6'!I46</f>
        <v>0</v>
      </c>
      <c r="G31" s="75">
        <f>+'[2]D_Est ECO_Q6'!J46</f>
        <v>0</v>
      </c>
      <c r="H31" s="77">
        <f>+'[2]D_Est ECO_Q6'!L46</f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f>+'[2]D_Est ECO_Q6'!F48</f>
        <v>326945.73301000014</v>
      </c>
      <c r="E33" s="142">
        <f>+'[2]D_Est ECO_Q6'!H48</f>
        <v>345140.23178000003</v>
      </c>
      <c r="F33" s="143">
        <f>+'[2]D_Est ECO_Q6'!I48</f>
        <v>16.807290804475333</v>
      </c>
      <c r="G33" s="143">
        <f>+'[2]D_Est ECO_Q6'!J48</f>
        <v>16.324211526864424</v>
      </c>
      <c r="H33" s="141">
        <f>+'[2]D_Est ECO_Q6'!L48</f>
        <v>5.5649904351078909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f>+'[2]D_Est ECO_Q6'!F51</f>
        <v>608.14400000000001</v>
      </c>
      <c r="E36" s="150">
        <f>+'[2]D_Est ECO_Q6'!H51</f>
        <v>0</v>
      </c>
      <c r="F36" s="150">
        <f>+'[2]D_Est ECO_Q6'!I51</f>
        <v>3.0833993343969555</v>
      </c>
      <c r="G36" s="150">
        <f>+'[2]D_Est ECO_Q6'!J51</f>
        <v>0</v>
      </c>
      <c r="H36" s="128">
        <f>+'[2]D_Est ECO_Q6'!L51</f>
        <v>-100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f>+'[2]D_Est ECO_Q6'!F52</f>
        <v>52859.12775</v>
      </c>
      <c r="E37" s="150">
        <f>+'[2]D_Est ECO_Q6'!H52</f>
        <v>47617.826910000003</v>
      </c>
      <c r="F37" s="150">
        <f>+'[2]D_Est ECO_Q6'!I52</f>
        <v>11.398081702245815</v>
      </c>
      <c r="G37" s="150">
        <f>+'[2]D_Est ECO_Q6'!J52</f>
        <v>20.297418539453613</v>
      </c>
      <c r="H37" s="128">
        <f>+'[2]D_Est ECO_Q6'!L52</f>
        <v>-9.9156022111999302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B2" sqref="B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(janeiro-março)","TABLE VII - Regional Gov. expenditure by functional classification (january-march)")</f>
        <v>TABLE VII - Regional Gov. expenditure by functional classification (january-march)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8">
        <f>+[2]D_Est_Func_Q7!D6</f>
        <v>2025</v>
      </c>
      <c r="E3" s="331">
        <f>+[2]D_Est_Func_Q7!E6</f>
        <v>2026</v>
      </c>
      <c r="F3" s="332" t="str">
        <f>+IF(Índice!$D$2=1,"Peso na estrutura
 em 2026","Weight in 2026 structure")</f>
        <v>Weight in 2026 structure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f>+[2]D_Est_Func_Q7!D8</f>
        <v>46206.396189999992</v>
      </c>
      <c r="E5" s="34">
        <f>+[2]D_Est_Func_Q7!E8</f>
        <v>54433.499490000009</v>
      </c>
      <c r="F5" s="34">
        <f>+[2]D_Est_Func_Q7!F8</f>
        <v>15.771415348847858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f>+[2]D_Est_Func_Q7!D9</f>
        <v>0</v>
      </c>
      <c r="E6" s="34">
        <f>+[2]D_Est_Func_Q7!E9</f>
        <v>0</v>
      </c>
      <c r="F6" s="34">
        <f>+[2]D_Est_Func_Q7!F9</f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f>+[2]D_Est_Func_Q7!D10</f>
        <v>3018.6628300000002</v>
      </c>
      <c r="E7" s="34">
        <f>+[2]D_Est_Func_Q7!E10</f>
        <v>2366.9649900000009</v>
      </c>
      <c r="F7" s="34">
        <f>+[2]D_Est_Func_Q7!F10</f>
        <v>0.68579805309650366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f>+[2]D_Est_Func_Q7!D11</f>
        <v>55466.603409999967</v>
      </c>
      <c r="E8" s="34">
        <f>+[2]D_Est_Func_Q7!E11</f>
        <v>65431.825009999986</v>
      </c>
      <c r="F8" s="34">
        <f>+[2]D_Est_Func_Q7!F11</f>
        <v>18.958040525309624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f>+[2]D_Est_Func_Q7!D12</f>
        <v>5269.9807800000008</v>
      </c>
      <c r="E9" s="34">
        <f>+[2]D_Est_Func_Q7!E12</f>
        <v>158.69497999999999</v>
      </c>
      <c r="F9" s="34">
        <f>+[2]D_Est_Func_Q7!F12</f>
        <v>4.597985554496458E-2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f>+[2]D_Est_Func_Q7!D13</f>
        <v>8945.0418699999991</v>
      </c>
      <c r="E10" s="34">
        <f>+[2]D_Est_Func_Q7!E13</f>
        <v>5515.7669299999998</v>
      </c>
      <c r="F10" s="34">
        <f>+[2]D_Est_Func_Q7!F13</f>
        <v>1.5981234356694383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f>+[2]D_Est_Func_Q7!D14</f>
        <v>96524.532119999989</v>
      </c>
      <c r="E11" s="34">
        <f>+[2]D_Est_Func_Q7!E14</f>
        <v>95267.337759999995</v>
      </c>
      <c r="F11" s="34">
        <f>+[2]D_Est_Func_Q7!F14</f>
        <v>27.602501530660579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f>+[2]D_Est_Func_Q7!D15</f>
        <v>6753.6738699999969</v>
      </c>
      <c r="E12" s="34">
        <f>+[2]D_Est_Func_Q7!E15</f>
        <v>6483.1709600000013</v>
      </c>
      <c r="F12" s="34">
        <f>+[2]D_Est_Func_Q7!F15</f>
        <v>1.8784164704775754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f>+[2]D_Est_Func_Q7!D16</f>
        <v>99501.670559999984</v>
      </c>
      <c r="E13" s="34">
        <f>+[2]D_Est_Func_Q7!E16</f>
        <v>105516.52212000013</v>
      </c>
      <c r="F13" s="34">
        <f>+[2]D_Est_Func_Q7!F16</f>
        <v>30.572072567668279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f>+[2]D_Est_Func_Q7!D17</f>
        <v>5259.1713800000007</v>
      </c>
      <c r="E14" s="34">
        <f>+[2]D_Est_Func_Q7!E17</f>
        <v>9966.4495400000014</v>
      </c>
      <c r="F14" s="34">
        <f>+[2]D_Est_Func_Q7!F17</f>
        <v>2.8876522127251838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f>+[2]D_Est_Func_Q7!D19</f>
        <v>326945.73300999997</v>
      </c>
      <c r="E17" s="145">
        <f>+[2]D_Est_Func_Q7!E19</f>
        <v>345140.23178000009</v>
      </c>
      <c r="F17" s="145">
        <f>+[2]D_Est_Func_Q7!F19</f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f>+[2]D_Est_Func_Q7!D22</f>
        <v>608.14400000000001</v>
      </c>
      <c r="E20" s="152">
        <f>+[2]D_Est_Func_Q7!E22</f>
        <v>0</v>
      </c>
      <c r="F20" s="152">
        <f>+[2]D_Est_Func_Q7!F22</f>
        <v>0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Financial liabilities</v>
      </c>
      <c r="D21" s="282">
        <f>+[2]D_Est_Func_Q7!D23</f>
        <v>52859.12775</v>
      </c>
      <c r="E21" s="282">
        <f>+[2]D_Est_Func_Q7!E23</f>
        <v>47617.826910000003</v>
      </c>
      <c r="F21" s="282">
        <f>+[2]D_Est_Func_Q7!F23</f>
        <v>13.796660755664277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2026-04-27T14:21:08Z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