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Março\"/>
    </mc:Choice>
  </mc:AlternateContent>
  <xr:revisionPtr revIDLastSave="0" documentId="13_ncr:1_{A8BC85E9-0009-4F07-833D-7D0940DBD518}" xr6:coauthVersionLast="47" xr6:coauthVersionMax="47" xr10:uidLastSave="{00000000-0000-0000-0000-000000000000}"/>
  <bookViews>
    <workbookView xWindow="-289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C2" i="8"/>
  <c r="C2" i="32"/>
  <c r="C2" i="11"/>
  <c r="C2" i="12"/>
  <c r="C2" i="39"/>
  <c r="C2" i="13"/>
  <c r="C2" i="51"/>
  <c r="C2" i="61"/>
  <c r="C2" i="38"/>
  <c r="C2" i="9"/>
  <c r="C2" i="50"/>
  <c r="C2" i="10"/>
  <c r="D3" i="61"/>
  <c r="D42" i="38"/>
  <c r="C41" i="38"/>
  <c r="D33" i="38"/>
  <c r="C32" i="38"/>
  <c r="D24" i="38"/>
  <c r="C23" i="38"/>
  <c r="D3" i="38"/>
  <c r="G3" i="12"/>
  <c r="F3" i="12"/>
  <c r="J1" i="12"/>
  <c r="F3" i="11"/>
  <c r="G3" i="32" l="1"/>
  <c r="G3" i="38"/>
  <c r="G3" i="50"/>
  <c r="G3" i="9"/>
  <c r="A20" i="54"/>
  <c r="E2" i="53"/>
  <c r="K3" i="12"/>
  <c r="H3" i="12"/>
  <c r="L3" i="12" l="1"/>
  <c r="M3" i="12"/>
  <c r="I3" i="12" l="1"/>
  <c r="J3" i="12"/>
  <c r="A15" i="54" l="1"/>
  <c r="A18" i="54" l="1"/>
  <c r="A17" i="54"/>
  <c r="A16" i="54"/>
  <c r="F3" i="50"/>
  <c r="F3" i="9"/>
  <c r="F33" i="38" l="1"/>
  <c r="E33" i="38"/>
  <c r="F42" i="38"/>
  <c r="E42" i="38"/>
  <c r="F24" i="38"/>
  <c r="E24" i="38"/>
  <c r="G24" i="38"/>
  <c r="G33" i="38"/>
  <c r="G42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<sst xmlns="http://schemas.openxmlformats.org/spreadsheetml/2006/main" count="124" uniqueCount="101">
  <si>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</si>
  <si>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</si>
  <si>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</si>
  <si>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</si>
  <si>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</si>
  <si>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</si>
  <si>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</si>
  <si>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</si>
  <si>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</si>
  <si>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</si>
  <si>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</si>
  <si>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</si>
  <si>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</si>
  <si>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</si>
  <si>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</si>
  <si>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</si>
  <si>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</si>
  <si>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</si>
  <si>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</si>
  <si>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</si>
  <si>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</si>
  <si>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</si>
  <si>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</si>
  <si>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</si>
  <si>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</si>
  <si>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</si>
  <si>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</si>
  <si>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</si>
  <si>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</si>
  <si>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</si>
  <si>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</si>
  <si>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</si>
  <si>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</si>
  <si>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</si>
  <si>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</si>
  <si>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</si>
  <si>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</si>
  <si>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</si>
  <si>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</si>
  <si>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</si>
  <si>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</si>
  <si>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</si>
  <si>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</si>
  <si>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</si>
  <si>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</si>
  <si>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</si>
  <si>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</si>
  <si>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</si>
  <si>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</si>
  <si>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</si>
  <si>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</si>
  <si>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</si>
  <si>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</si>
  <si>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</si>
  <si>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</si>
  <si>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</si>
  <si>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</si>
  <si>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</si>
  <si>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</si>
  <si>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</si>
  <si>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</si>
  <si>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</si>
  <si>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</si>
  <si>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</si>
  <si>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</si>
  <si>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</si>
  <si>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</si>
  <si>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</si>
  <si>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</si>
  <si>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</si>
  <si>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IMT-Instituto de Mobilidade e Transportes, IP-RAM</t>
  </si>
  <si>
    <t>Secretaria Regional de Equipamentos e Infraestruturas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</si>
  <si>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</si>
  <si>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</si>
  <si>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</si>
  <si>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</si>
  <si>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</si>
  <si>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</si>
  <si>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</si>
  <si>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</si>
  <si>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</si>
  <si>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Invest-Madeira- Agência para a Internacionalização e Investimento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</si>
  <si>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</si>
  <si>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</si>
  <si>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</si>
  <si>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do Arquivo e Biblioteca da Madeira</t>
  </si>
  <si>
    <t>Direção Regional de Juventude</t>
  </si>
  <si>
    <t>Instituto para a Qualificação</t>
  </si>
  <si>
    <t>Direção Regional do Ordenamento do Território</t>
  </si>
  <si>
    <t>Direção Regional da Saúde</t>
  </si>
  <si>
    <t>Direção Regional de Planeamento, Recursos e Infraestruturas</t>
  </si>
  <si>
    <t>Presidência do Governo Regional</t>
  </si>
  <si>
    <t>Secretaria Regional de Educação, Ciênciua e Tecnologia</t>
  </si>
  <si>
    <t>Serviço Regional de Proteção Civil,IP-RAM</t>
  </si>
  <si>
    <t>IHM-Investimentos Habitacionais da Madeira, EPERAM</t>
  </si>
  <si>
    <t>Instituto de Emprego da Madeira, IP-RAM</t>
  </si>
  <si>
    <t>Direção Regional de Turismo</t>
  </si>
  <si>
    <t>Inspeção Regional de Educação</t>
  </si>
  <si>
    <t>Direção Regional de Agricultura e Desenvolvimento Rural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</si>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</sst>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04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O37" sqref="O37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 ht="33.75">
      <c r="C1" s="184"/>
      <c r="D1" s="184"/>
      <c r="E1" s="184"/>
      <c r="F1" s="185"/>
      <c r="G1" s="185"/>
      <c r="H1" s="185"/>
      <c r="I1" s="185"/>
      <c r="J1" s="185" t="str">
        <f>+IF(Índice!$D$2=1,"Educação, Ciência e Tecnologia","Education, Science and Technology")</f>
        <v>Educação, Ciência e Tecnologia</v>
      </c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(janeiro-março)","TABLE VIII - Budget execution by organic and economic cross-classification (january-march)")</f>
        <v>QUADRO VIII - Execução orçamental por classificação cruzada orgânica e económica (janeiro-março)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Milhares</v>
      </c>
      <c r="P2" s="190" t="str">
        <f>+IF(Índice!$D$2=1,"índice","Index")</f>
        <v>índice</v>
      </c>
    </row>
    <row r="3" spans="2:16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+IF(Índice!$D$2=1,"Turismo, Ambiente e Cultura","Tourism, Enviroment and Culture")</f>
        <v>Turismo, Ambiente e Cultura</v>
      </c>
      <c r="G3" s="320" t="str">
        <f>+IF(Índice!$D$2=1,"Educação, Ciência e Tecnologia","Education, Science and Technology")</f>
        <v>Educação, Ciência e Tecnologia</v>
      </c>
      <c r="H3" s="320" t="str">
        <f>+IF(Índice!$D$2=1,"Economia","Economy")</f>
        <v>Economia</v>
      </c>
      <c r="I3" s="192" t="str">
        <f>+IF(Índice!$D$2=1,"Saúde e Proteção Civil","Health and Civil Protection")</f>
        <v>Saúde e Proteção Civil</v>
      </c>
      <c r="J3" s="192" t="str">
        <f>+IF(Índice!$D$2=1,"Finanças","Finances")</f>
        <v>Finanças</v>
      </c>
      <c r="K3" s="192" t="str">
        <f>+IF(Índice!$D$2=1,"Agricultura, Pescas e Ambiente","Agriculture and Fisheries")</f>
        <v>Agricultura, Pescas e Ambiente</v>
      </c>
      <c r="L3" s="192" t="str">
        <f>+IF(Índice!$D$2=1,"Inclusão, Trabalho e Jventude","Inclusion, Labor and Youth")</f>
        <v>Inclusão, Trabalho e Jventude</v>
      </c>
      <c r="M3" s="192" t="str">
        <f>+IF(Índice!$D$2=1,"Equipamentos e Infraestruturas","Equipment and infrastructures")</f>
        <v>Equipamentos e Infraestruturas</v>
      </c>
      <c r="N3" s="193" t="s">
        <v>5</v>
      </c>
    </row>
    <row r="4" spans="2:16" ht="27" customHeight="1">
      <c r="C4" s="253" t="str">
        <f>+IF(Índice!$D$2=1,"Despesa corrente","Current expenditure")</f>
        <v>Despesa corrente</v>
      </c>
      <c r="D4" s="194">
        <v>3340</v>
      </c>
      <c r="E4" s="194">
        <v>543.82567000000006</v>
      </c>
      <c r="F4" s="194">
        <v>8068.9640699999982</v>
      </c>
      <c r="G4" s="194">
        <v>110263.63855000005</v>
      </c>
      <c r="H4" s="194">
        <v>4284.0299800000003</v>
      </c>
      <c r="I4" s="194">
        <v>94798.87801</v>
      </c>
      <c r="J4" s="194">
        <v>50409.435740000015</v>
      </c>
      <c r="K4" s="194">
        <v>6913.0687699999999</v>
      </c>
      <c r="L4" s="194">
        <v>5726.412620000001</v>
      </c>
      <c r="M4" s="194">
        <v>45342.474600000001</v>
      </c>
      <c r="N4" s="194">
        <v>329690.72801000002</v>
      </c>
    </row>
    <row r="5" spans="2:16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413.18676000000005</v>
      </c>
      <c r="F5" s="196">
        <v>4456.8792699999985</v>
      </c>
      <c r="G5" s="196">
        <v>87390.033940000038</v>
      </c>
      <c r="H5" s="196">
        <v>1004.5106000000002</v>
      </c>
      <c r="I5" s="196">
        <v>1371.8192199999999</v>
      </c>
      <c r="J5" s="196">
        <v>7895.266290000005</v>
      </c>
      <c r="K5" s="196">
        <v>5484.4929099999999</v>
      </c>
      <c r="L5" s="196">
        <v>1911.6289600000007</v>
      </c>
      <c r="M5" s="196">
        <v>3741.6318600000004</v>
      </c>
      <c r="N5" s="196">
        <v>113669.44981000003</v>
      </c>
      <c r="O5" s="21"/>
    </row>
    <row r="6" spans="2:16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7">
        <v>324.10710000000006</v>
      </c>
      <c r="F6" s="197">
        <v>3516.7750199999987</v>
      </c>
      <c r="G6" s="197">
        <v>66190.49595000004</v>
      </c>
      <c r="H6" s="197">
        <v>820.86586000000011</v>
      </c>
      <c r="I6" s="197">
        <v>1099.1326199999999</v>
      </c>
      <c r="J6" s="197">
        <v>5827.2020400000047</v>
      </c>
      <c r="K6" s="197">
        <v>4211.6643199999999</v>
      </c>
      <c r="L6" s="197">
        <v>1530.7941200000007</v>
      </c>
      <c r="M6" s="197">
        <v>2881.9841500000007</v>
      </c>
      <c r="N6" s="197">
        <v>86403.021180000054</v>
      </c>
    </row>
    <row r="7" spans="2:16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7">
        <v>23.083579999999998</v>
      </c>
      <c r="F7" s="197">
        <v>408.06739000000005</v>
      </c>
      <c r="G7" s="197">
        <v>6739.2283599999992</v>
      </c>
      <c r="H7" s="197">
        <v>61.585949999999997</v>
      </c>
      <c r="I7" s="197">
        <v>89.572259999999986</v>
      </c>
      <c r="J7" s="197">
        <v>1087.9577200000001</v>
      </c>
      <c r="K7" s="197">
        <v>621.4550999999999</v>
      </c>
      <c r="L7" s="197">
        <v>157.03586000000001</v>
      </c>
      <c r="M7" s="197">
        <v>392.01569999999998</v>
      </c>
      <c r="N7" s="197">
        <v>9580.001919999997</v>
      </c>
    </row>
    <row r="8" spans="2:16" ht="15" customHeight="1">
      <c r="B8" s="195"/>
      <c r="C8" s="109" t="str">
        <f>+IF(Índice!$D$2=1,"Segurança social","Social security")</f>
        <v>Segurança social</v>
      </c>
      <c r="D8" s="197">
        <v>0</v>
      </c>
      <c r="E8" s="197">
        <v>65.996080000000006</v>
      </c>
      <c r="F8" s="197">
        <v>532.03685999999993</v>
      </c>
      <c r="G8" s="197">
        <v>14460.309630000009</v>
      </c>
      <c r="H8" s="197">
        <v>122.05879</v>
      </c>
      <c r="I8" s="197">
        <v>183.11433999999997</v>
      </c>
      <c r="J8" s="197">
        <v>980.10652999999968</v>
      </c>
      <c r="K8" s="197">
        <v>651.37348999999995</v>
      </c>
      <c r="L8" s="197">
        <v>223.79898</v>
      </c>
      <c r="M8" s="197">
        <v>467.63201000000004</v>
      </c>
      <c r="N8" s="197">
        <v>17686.426710000007</v>
      </c>
    </row>
    <row r="9" spans="2:16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124.62400999999997</v>
      </c>
      <c r="F9" s="196">
        <v>945.48290999999983</v>
      </c>
      <c r="G9" s="196">
        <v>3739.6645200000021</v>
      </c>
      <c r="H9" s="196">
        <v>191.51909000000001</v>
      </c>
      <c r="I9" s="196">
        <v>40.268360000000001</v>
      </c>
      <c r="J9" s="196">
        <v>18156.612520000013</v>
      </c>
      <c r="K9" s="196">
        <v>495.39946999999972</v>
      </c>
      <c r="L9" s="196">
        <v>78.891829999999999</v>
      </c>
      <c r="M9" s="196">
        <v>33515.291729999997</v>
      </c>
      <c r="N9" s="196">
        <v>57287.754440000019</v>
      </c>
    </row>
    <row r="10" spans="2:16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7">
        <v>18.334769999999999</v>
      </c>
      <c r="F10" s="197">
        <v>49.672569999999993</v>
      </c>
      <c r="G10" s="197">
        <v>2090.8767400000011</v>
      </c>
      <c r="H10" s="197">
        <v>3.5990000000000002</v>
      </c>
      <c r="I10" s="197">
        <v>5.5875900000000005</v>
      </c>
      <c r="J10" s="197">
        <v>75.283750000000026</v>
      </c>
      <c r="K10" s="197">
        <v>80.022099999999995</v>
      </c>
      <c r="L10" s="197">
        <v>2.8357200000000002</v>
      </c>
      <c r="M10" s="197">
        <v>105.81807000000002</v>
      </c>
      <c r="N10" s="197">
        <v>2432.0303100000015</v>
      </c>
    </row>
    <row r="11" spans="2:16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7">
        <v>106.28923999999998</v>
      </c>
      <c r="F11" s="197">
        <v>895.81033999999988</v>
      </c>
      <c r="G11" s="197">
        <v>1648.7877800000012</v>
      </c>
      <c r="H11" s="197">
        <v>187.92009000000002</v>
      </c>
      <c r="I11" s="197">
        <v>34.680770000000003</v>
      </c>
      <c r="J11" s="197">
        <v>18081.328770000015</v>
      </c>
      <c r="K11" s="197">
        <v>415.37736999999976</v>
      </c>
      <c r="L11" s="197">
        <v>76.056110000000004</v>
      </c>
      <c r="M11" s="197">
        <v>33409.473659999996</v>
      </c>
      <c r="N11" s="197">
        <v>54855.72413000001</v>
      </c>
    </row>
    <row r="12" spans="2:16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0</v>
      </c>
      <c r="G12" s="198">
        <v>6.9498699999999989</v>
      </c>
      <c r="H12" s="198">
        <v>0</v>
      </c>
      <c r="I12" s="198">
        <v>0</v>
      </c>
      <c r="J12" s="198">
        <v>22354.718650000003</v>
      </c>
      <c r="K12" s="198">
        <v>0</v>
      </c>
      <c r="L12" s="198">
        <v>0</v>
      </c>
      <c r="M12" s="198">
        <v>0</v>
      </c>
      <c r="N12" s="198">
        <v>22361.668520000003</v>
      </c>
    </row>
    <row r="13" spans="2:16" ht="15" customHeight="1">
      <c r="B13" s="195"/>
      <c r="C13" s="104" t="str">
        <f>+IF(Índice!$D$2=1,"Transferências correntes","Current transfers")</f>
        <v>Transferências correntes</v>
      </c>
      <c r="D13" s="196">
        <v>3340</v>
      </c>
      <c r="E13" s="196">
        <v>6.0148999999999999</v>
      </c>
      <c r="F13" s="196">
        <v>2660.0391300000001</v>
      </c>
      <c r="G13" s="196">
        <v>19115.146499999999</v>
      </c>
      <c r="H13" s="196">
        <v>3087.8402900000001</v>
      </c>
      <c r="I13" s="196">
        <v>93386.740429999991</v>
      </c>
      <c r="J13" s="196">
        <v>1792.3601699999999</v>
      </c>
      <c r="K13" s="196">
        <v>778.6301400000001</v>
      </c>
      <c r="L13" s="196">
        <v>3735.8918300000005</v>
      </c>
      <c r="M13" s="196">
        <v>6878.9437199999993</v>
      </c>
      <c r="N13" s="196">
        <v>134781.60710999998</v>
      </c>
    </row>
    <row r="14" spans="2:16" ht="15" customHeight="1">
      <c r="B14" s="195"/>
      <c r="C14" s="109" t="str">
        <f>IF(Índice!$D$2=1,"Administração Pública","Public Administration")</f>
        <v>Administração Pública</v>
      </c>
      <c r="D14" s="200">
        <v>3340</v>
      </c>
      <c r="E14" s="200">
        <v>0</v>
      </c>
      <c r="F14" s="200">
        <v>2199.9066499999999</v>
      </c>
      <c r="G14" s="200">
        <v>6417.9183299999986</v>
      </c>
      <c r="H14" s="200">
        <v>3040.9832999999999</v>
      </c>
      <c r="I14" s="200">
        <v>93377.602609999987</v>
      </c>
      <c r="J14" s="200">
        <v>1744.8457699999999</v>
      </c>
      <c r="K14" s="200">
        <v>770.3140800000001</v>
      </c>
      <c r="L14" s="200">
        <v>3159.7210800000003</v>
      </c>
      <c r="M14" s="200">
        <v>6867.7633499999993</v>
      </c>
      <c r="N14" s="200">
        <v>120919.05516999998</v>
      </c>
    </row>
    <row r="15" spans="2:16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Administração Regional</v>
      </c>
      <c r="D16" s="198">
        <v>3340</v>
      </c>
      <c r="E16" s="198">
        <v>0</v>
      </c>
      <c r="F16" s="198">
        <v>2199.9066499999999</v>
      </c>
      <c r="G16" s="198">
        <v>6417.9183299999986</v>
      </c>
      <c r="H16" s="198">
        <v>3040.9832999999999</v>
      </c>
      <c r="I16" s="198">
        <v>93377.602609999987</v>
      </c>
      <c r="J16" s="198">
        <v>1744.8457699999999</v>
      </c>
      <c r="K16" s="198">
        <v>770.3140800000001</v>
      </c>
      <c r="L16" s="198">
        <v>3159.7210800000003</v>
      </c>
      <c r="M16" s="198">
        <v>6867.7633499999993</v>
      </c>
      <c r="N16" s="198">
        <v>120919.05516999998</v>
      </c>
    </row>
    <row r="17" spans="2:14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6.0148999999999999</v>
      </c>
      <c r="F19" s="200">
        <v>460.13248000000016</v>
      </c>
      <c r="G19" s="200">
        <v>12697.22817</v>
      </c>
      <c r="H19" s="200">
        <v>46.856990000000003</v>
      </c>
      <c r="I19" s="200">
        <v>9.1378200000000014</v>
      </c>
      <c r="J19" s="200">
        <v>47.514399999999995</v>
      </c>
      <c r="K19" s="200">
        <v>8.3160600000000002</v>
      </c>
      <c r="L19" s="200">
        <v>576.17075000000011</v>
      </c>
      <c r="M19" s="200">
        <v>11.18037</v>
      </c>
      <c r="N19" s="200">
        <v>13862.551939999999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0</v>
      </c>
      <c r="G20" s="198">
        <v>4513.5641400000004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4513.5641400000004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0</v>
      </c>
      <c r="F22" s="198">
        <v>410.71248000000014</v>
      </c>
      <c r="G22" s="198">
        <v>6660.3478599999999</v>
      </c>
      <c r="H22" s="198">
        <v>44</v>
      </c>
      <c r="I22" s="198">
        <v>0.44714999999999999</v>
      </c>
      <c r="J22" s="198">
        <v>0</v>
      </c>
      <c r="K22" s="198">
        <v>0</v>
      </c>
      <c r="L22" s="198">
        <v>537.63560000000007</v>
      </c>
      <c r="M22" s="198">
        <v>0</v>
      </c>
      <c r="N22" s="198">
        <v>7653.1430899999996</v>
      </c>
    </row>
    <row r="23" spans="2:14" hidden="1">
      <c r="B23" s="195"/>
      <c r="C23" s="104">
        <v>0</v>
      </c>
      <c r="D23" s="198">
        <v>0</v>
      </c>
      <c r="E23" s="198">
        <v>1.0148999999999999</v>
      </c>
      <c r="F23" s="198">
        <v>49.42</v>
      </c>
      <c r="G23" s="198">
        <v>1523.3161699999998</v>
      </c>
      <c r="H23" s="198">
        <v>2.8569900000000001</v>
      </c>
      <c r="I23" s="198">
        <v>8.6906700000000008</v>
      </c>
      <c r="J23" s="198">
        <v>27.4254</v>
      </c>
      <c r="K23" s="198">
        <v>8.3160600000000002</v>
      </c>
      <c r="L23" s="198">
        <v>38.535150000000002</v>
      </c>
      <c r="M23" s="198">
        <v>11.18037</v>
      </c>
      <c r="N23" s="198">
        <v>1670.7557099999999</v>
      </c>
    </row>
    <row r="24" spans="2:14" hidden="1">
      <c r="B24" s="195"/>
      <c r="C24" s="187">
        <v>0</v>
      </c>
      <c r="D24" s="198">
        <v>0</v>
      </c>
      <c r="E24" s="198">
        <v>5</v>
      </c>
      <c r="F24" s="198">
        <v>0</v>
      </c>
      <c r="G24" s="198">
        <v>0</v>
      </c>
      <c r="H24" s="198">
        <v>0</v>
      </c>
      <c r="I24" s="198">
        <v>0</v>
      </c>
      <c r="J24" s="198">
        <v>20.088999999999999</v>
      </c>
      <c r="K24" s="198">
        <v>0</v>
      </c>
      <c r="L24" s="198">
        <v>0</v>
      </c>
      <c r="M24" s="198">
        <v>0</v>
      </c>
      <c r="N24" s="198">
        <v>25.088999999999999</v>
      </c>
    </row>
    <row r="25" spans="2:14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15.005799999999999</v>
      </c>
      <c r="L25" s="198">
        <v>0</v>
      </c>
      <c r="M25" s="198">
        <v>1200.9345800000001</v>
      </c>
      <c r="N25" s="198">
        <v>1215.94038</v>
      </c>
    </row>
    <row r="26" spans="2:14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6.5627599999999999</v>
      </c>
      <c r="G26" s="198">
        <v>11.843720000000001</v>
      </c>
      <c r="H26" s="198">
        <v>0.16</v>
      </c>
      <c r="I26" s="198">
        <v>0.05</v>
      </c>
      <c r="J26" s="198">
        <v>210.47811000000002</v>
      </c>
      <c r="K26" s="198">
        <v>139.54045000000002</v>
      </c>
      <c r="L26" s="198">
        <v>0</v>
      </c>
      <c r="M26" s="198">
        <v>5.6727100000000004</v>
      </c>
      <c r="N26" s="198">
        <v>374.30775</v>
      </c>
    </row>
    <row r="27" spans="2:14" ht="24.95" customHeight="1">
      <c r="B27" s="195"/>
      <c r="C27" s="202" t="str">
        <f>+IF(Índice!$D$2=1,"Despesa de capital","Capital expenditure")</f>
        <v>Despesa de capital</v>
      </c>
      <c r="D27" s="32">
        <v>50</v>
      </c>
      <c r="E27" s="32">
        <v>0</v>
      </c>
      <c r="F27" s="32">
        <v>296.52146000000005</v>
      </c>
      <c r="G27" s="32">
        <v>535.38250000000005</v>
      </c>
      <c r="H27" s="32">
        <v>251.87322</v>
      </c>
      <c r="I27" s="32">
        <v>929.76553999999999</v>
      </c>
      <c r="J27" s="32">
        <v>1311.0350700000001</v>
      </c>
      <c r="K27" s="32">
        <v>920.02708000000007</v>
      </c>
      <c r="L27" s="32">
        <v>6837.2238400000006</v>
      </c>
      <c r="M27" s="32">
        <v>4317.6750600000005</v>
      </c>
      <c r="N27" s="32">
        <v>15449.503770000003</v>
      </c>
    </row>
    <row r="28" spans="2:14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296.52146000000005</v>
      </c>
      <c r="G28" s="198">
        <v>467.42720000000003</v>
      </c>
      <c r="H28" s="198">
        <v>0</v>
      </c>
      <c r="I28" s="198">
        <v>7.7625200000000003</v>
      </c>
      <c r="J28" s="198">
        <v>375.98514000000006</v>
      </c>
      <c r="K28" s="198">
        <v>121.66093000000001</v>
      </c>
      <c r="L28" s="198">
        <v>191.00692999999998</v>
      </c>
      <c r="M28" s="198">
        <v>4201.7535800000005</v>
      </c>
      <c r="N28" s="198">
        <v>5662.117760000001</v>
      </c>
    </row>
    <row r="29" spans="2:14" ht="15" customHeight="1">
      <c r="C29" s="104" t="str">
        <f>+IF(Índice!$D$2=1,"Transferências capital","Capital transfers")</f>
        <v>Transferências capital</v>
      </c>
      <c r="D29" s="196">
        <v>50</v>
      </c>
      <c r="E29" s="196">
        <v>0</v>
      </c>
      <c r="F29" s="196">
        <v>0</v>
      </c>
      <c r="G29" s="196">
        <v>67.955299999999994</v>
      </c>
      <c r="H29" s="196">
        <v>251.87322</v>
      </c>
      <c r="I29" s="196">
        <v>922.00301999999999</v>
      </c>
      <c r="J29" s="196">
        <v>935.04993000000002</v>
      </c>
      <c r="K29" s="196">
        <v>798.36615000000006</v>
      </c>
      <c r="L29" s="196">
        <v>6646.216910000001</v>
      </c>
      <c r="M29" s="196">
        <v>115.92148</v>
      </c>
      <c r="N29" s="196">
        <v>9787.386010000002</v>
      </c>
    </row>
    <row r="30" spans="2:14" ht="15" customHeight="1">
      <c r="C30" s="109" t="str">
        <f>IF(Índice!$D$2=1,"Administração Pública","Public Administration")</f>
        <v>Administração Pública</v>
      </c>
      <c r="D30" s="200">
        <v>50</v>
      </c>
      <c r="E30" s="200">
        <v>0</v>
      </c>
      <c r="F30" s="200">
        <v>0</v>
      </c>
      <c r="G30" s="200">
        <v>32.977829999999997</v>
      </c>
      <c r="H30" s="200">
        <v>251.87322</v>
      </c>
      <c r="I30" s="200">
        <v>922.00301999999999</v>
      </c>
      <c r="J30" s="200">
        <v>935.04993000000002</v>
      </c>
      <c r="K30" s="200">
        <v>798.36615000000006</v>
      </c>
      <c r="L30" s="200">
        <v>5.1959799999999996</v>
      </c>
      <c r="M30" s="200">
        <v>115.92148</v>
      </c>
      <c r="N30" s="200">
        <v>3111.3876100000002</v>
      </c>
    </row>
    <row r="31" spans="2:14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796.89015000000006</v>
      </c>
      <c r="L31" s="198">
        <v>0</v>
      </c>
      <c r="M31" s="198">
        <v>0</v>
      </c>
      <c r="N31" s="198">
        <v>796.89015000000006</v>
      </c>
    </row>
    <row r="32" spans="2:14" ht="15" customHeight="1">
      <c r="C32" s="201" t="str">
        <f>IF(Índice!$D$2=1,"Administração Regional","Regional Administration")</f>
        <v>Administração Regional</v>
      </c>
      <c r="D32" s="198">
        <v>50</v>
      </c>
      <c r="E32" s="198">
        <v>0</v>
      </c>
      <c r="F32" s="198">
        <v>0</v>
      </c>
      <c r="G32" s="198">
        <v>32.977829999999997</v>
      </c>
      <c r="H32" s="198">
        <v>251.87322</v>
      </c>
      <c r="I32" s="198">
        <v>922.00301999999999</v>
      </c>
      <c r="J32" s="198">
        <v>935.04993000000002</v>
      </c>
      <c r="K32" s="198">
        <v>1.476</v>
      </c>
      <c r="L32" s="198">
        <v>5.1959799999999996</v>
      </c>
      <c r="M32" s="198">
        <v>115.92148</v>
      </c>
      <c r="N32" s="198">
        <v>2314.49746</v>
      </c>
    </row>
    <row r="33" spans="1:169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0</v>
      </c>
      <c r="G35" s="200">
        <v>34.977470000000004</v>
      </c>
      <c r="H35" s="200">
        <v>0</v>
      </c>
      <c r="I35" s="200">
        <v>0</v>
      </c>
      <c r="J35" s="200">
        <v>0</v>
      </c>
      <c r="K35" s="200">
        <v>0</v>
      </c>
      <c r="L35" s="200">
        <v>6641.0209300000006</v>
      </c>
      <c r="M35" s="200">
        <v>0</v>
      </c>
      <c r="N35" s="200">
        <v>6675.9984000000004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3390</v>
      </c>
      <c r="E38" s="204">
        <v>543.82567000000006</v>
      </c>
      <c r="F38" s="204">
        <v>8365.4855299999981</v>
      </c>
      <c r="G38" s="204">
        <v>110799.02105000005</v>
      </c>
      <c r="H38" s="204">
        <v>4535.9032000000007</v>
      </c>
      <c r="I38" s="204">
        <v>95728.643549999993</v>
      </c>
      <c r="J38" s="204">
        <v>51720.470810000013</v>
      </c>
      <c r="K38" s="204">
        <v>7833.0958499999997</v>
      </c>
      <c r="L38" s="204">
        <v>12563.636460000002</v>
      </c>
      <c r="M38" s="204">
        <v>49660.149660000003</v>
      </c>
      <c r="N38" s="204">
        <v>345140.23178000003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</row>
    <row r="41" spans="1:169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47617.826910000003</v>
      </c>
      <c r="K41" s="200">
        <v>0</v>
      </c>
      <c r="L41" s="200">
        <v>0</v>
      </c>
      <c r="M41" s="200">
        <v>0</v>
      </c>
      <c r="N41" s="200">
        <v>47617.826910000003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38065.895100000002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Fonte: Secretaria Regional das Finanças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B2" sqref="B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(janeiro-março)","TABLE IX - RPEs global balance (january-march)")</f>
        <v>QUADRO IX - Saldo Global do Subsetor - EPR (janeiro-março)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2025</v>
      </c>
      <c r="E3" s="173"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3061.2364699999162</v>
      </c>
      <c r="E5" s="82">
        <v>6787.6078100000013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Fonte: Secretaria Regional das Finanças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(janeiro-março)","TABLE X - ASFs and RPEs budget execution (january-march)")</f>
        <v>QUADRO X - Execução orçamental dos Serviços e Fundos Autónomos e EPR (janeiro-março)</v>
      </c>
      <c r="D2" s="335"/>
      <c r="E2" s="335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4686.5359399999725</v>
      </c>
      <c r="E4" s="98">
        <v>6787.6078100000013</v>
      </c>
      <c r="F4" s="98">
        <v>11474.143749999974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156788.61645999999</v>
      </c>
      <c r="E7" s="74">
        <v>117547.05165000001</v>
      </c>
      <c r="F7" s="74">
        <v>274335.66810999997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4749.3671999999724</v>
      </c>
      <c r="E8" s="74">
        <v>6878.1308500000014</v>
      </c>
      <c r="F8" s="74">
        <v>11627.498049999975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4409.2371799999673</v>
      </c>
      <c r="E9" s="74">
        <v>6329.8323400000081</v>
      </c>
      <c r="F9" s="74">
        <v>10739.069520000019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277.29875999999967</v>
      </c>
      <c r="E10" s="74">
        <v>457.7754700000005</v>
      </c>
      <c r="F10" s="74">
        <v>735.07423000000017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Fonte: Secretaria Regional das Finanças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(janeiro-março)","TABLE XI - ASFs and RPEs budget execution (january-march)")</f>
        <v>QUADRO XI - Execução orçamental dos Serviços e Fundos Autónomos e EPR (janeiro-março)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157365.37875999996</v>
      </c>
      <c r="E4" s="108">
        <v>118500.28975000001</v>
      </c>
      <c r="F4" s="108">
        <v>275865.66850999999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2780.5437000000002</v>
      </c>
      <c r="E8" s="74">
        <v>3645.3909700000004</v>
      </c>
      <c r="F8" s="74">
        <v>6425.9346700000006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152602.62998999996</v>
      </c>
      <c r="E9" s="74">
        <v>106026.90573</v>
      </c>
      <c r="F9" s="74">
        <v>258629.53571999996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8955.8008900000023</v>
      </c>
      <c r="E10" s="74">
        <v>1081.6647800000001</v>
      </c>
      <c r="F10" s="74">
        <v>10037.465670000001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143149.76083999994</v>
      </c>
      <c r="E11" s="74">
        <v>104945.24094999999</v>
      </c>
      <c r="F11" s="74">
        <v>248095.00178999995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1575.7582699999998</v>
      </c>
      <c r="E12" s="74">
        <v>3406.4204399999999</v>
      </c>
      <c r="F12" s="74">
        <v>4982.1787100000001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406.4468</v>
      </c>
      <c r="E13" s="74">
        <v>5421.5726100000002</v>
      </c>
      <c r="F13" s="74">
        <v>5828.0194099999999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4172.6048999999994</v>
      </c>
      <c r="E14" s="83">
        <v>5924.89275</v>
      </c>
      <c r="F14" s="83">
        <v>10097.497649999999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18.527999999999999</v>
      </c>
      <c r="F15" s="34">
        <v>18.527999999999999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4150.5823099999998</v>
      </c>
      <c r="E16" s="34">
        <v>5894.9814399999996</v>
      </c>
      <c r="F16" s="74">
        <v>10045.563749999999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2999.7707300000002</v>
      </c>
      <c r="E17" s="34">
        <v>4247.3032899999989</v>
      </c>
      <c r="F17" s="74">
        <v>7247.0740199999991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1150.8115799999996</v>
      </c>
      <c r="E18" s="74">
        <v>1647.6781500000006</v>
      </c>
      <c r="F18" s="74">
        <v>2798.4897300000002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3.7193299999999998</v>
      </c>
      <c r="F19" s="74">
        <v>3.7193299999999998</v>
      </c>
    </row>
    <row r="20" spans="2:6" ht="11.25" customHeight="1">
      <c r="C20" s="110" t="str">
        <f>+IF(Índice!$D$2=1,"Receita efetiva","Effective revenue")</f>
        <v>Receita efetiva</v>
      </c>
      <c r="D20" s="83">
        <v>161537.98365999997</v>
      </c>
      <c r="E20" s="83">
        <v>124425.18250000001</v>
      </c>
      <c r="F20" s="83">
        <v>285963.16615999996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152956.14158</v>
      </c>
      <c r="E22" s="83">
        <v>112170.45741</v>
      </c>
      <c r="F22" s="83">
        <v>265126.59898999997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15146.107900000003</v>
      </c>
      <c r="E23" s="74">
        <v>76495.83974000001</v>
      </c>
      <c r="F23" s="74">
        <v>91641.947640000013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21895.342340000003</v>
      </c>
      <c r="E24" s="74">
        <v>31558.203419999991</v>
      </c>
      <c r="F24" s="74">
        <v>53453.545759999994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62.83126</v>
      </c>
      <c r="E25" s="74">
        <v>90.523039999999995</v>
      </c>
      <c r="F25" s="74">
        <v>153.35429999999999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108023.39376000001</v>
      </c>
      <c r="E26" s="74">
        <v>3696.5428299999999</v>
      </c>
      <c r="F26" s="74">
        <v>111719.93659000001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905.87963000000013</v>
      </c>
      <c r="E27" s="74">
        <v>0</v>
      </c>
      <c r="F27" s="59">
        <v>905.87963000000013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107117.51413000001</v>
      </c>
      <c r="E28" s="74">
        <v>3696.5428299999999</v>
      </c>
      <c r="F28" s="59">
        <v>110814.05696000002</v>
      </c>
    </row>
    <row r="29" spans="2:6" ht="11.25" customHeight="1">
      <c r="C29" s="104" t="str">
        <f>+IF(Índice!$D$2=1,"Subsídios","Subsidies")</f>
        <v>Subsídios</v>
      </c>
      <c r="D29" s="74">
        <v>7818.1990300000007</v>
      </c>
      <c r="E29" s="74">
        <v>0</v>
      </c>
      <c r="F29" s="74">
        <v>7818.1990300000007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10.267290000000001</v>
      </c>
      <c r="E30" s="74">
        <v>329.34838000000002</v>
      </c>
      <c r="F30" s="74">
        <v>339.61567000000002</v>
      </c>
    </row>
    <row r="31" spans="2:6" ht="11.25" customHeight="1">
      <c r="C31" s="110" t="str">
        <f>+IF(Índice!$D$2=1,"Despesa de capital","Capital expenditure")</f>
        <v>Despesa de capital</v>
      </c>
      <c r="D31" s="83">
        <v>3895.3061399999997</v>
      </c>
      <c r="E31" s="83">
        <v>5467.1172799999995</v>
      </c>
      <c r="F31" s="83">
        <v>9362.4234199999992</v>
      </c>
    </row>
    <row r="32" spans="2:6" ht="11.25" customHeight="1">
      <c r="C32" s="104" t="str">
        <f>+IF(Índice!$D$2=1,"Investimento","Investment")</f>
        <v>Investimento</v>
      </c>
      <c r="D32" s="74">
        <v>278.00774999999999</v>
      </c>
      <c r="E32" s="74">
        <v>5218.9161699999995</v>
      </c>
      <c r="F32" s="74">
        <v>5496.9239199999993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3617.2983899999999</v>
      </c>
      <c r="E33" s="74">
        <v>248.20111000000003</v>
      </c>
      <c r="F33" s="74">
        <v>3865.4994999999999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156851.44772</v>
      </c>
      <c r="E36" s="83">
        <v>117637.57469000001</v>
      </c>
      <c r="F36" s="83">
        <v>274489.02240999998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1206.51757</v>
      </c>
      <c r="E38" s="35">
        <v>23.999479999999998</v>
      </c>
      <c r="F38" s="35">
        <v>1230.5170499999999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157.71439000000001</v>
      </c>
      <c r="F39" s="35">
        <v>157.71439000000001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4686.5359399999725</v>
      </c>
      <c r="E44" s="114">
        <v>6787.6078100000013</v>
      </c>
      <c r="F44" s="114">
        <v>11474.143749999974</v>
      </c>
    </row>
    <row r="45" spans="3:6" ht="15" customHeight="1">
      <c r="C45" s="333" t="str">
        <f>+IF(Índice!$D$2=1,"Fonte: Secretaria Regional das Finanças","Source: Regional Finance Secretariat")</f>
        <v>Fonte: Secretaria Regional das Finanças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(março)","TABLE XII - ASFs and RPEs budget execution (march)")</f>
        <v>QUADRO XII - Execução orçamental dos Serviços e Fundos Autónomos e EPR (março)</v>
      </c>
      <c r="D2" s="305"/>
      <c r="E2" s="305"/>
      <c r="F2" s="306" t="str">
        <f>+IF(Índice!$D$2=1,"€ Milhares","€ Thousands")</f>
        <v>€ Milhares</v>
      </c>
      <c r="H2" s="290" t="str">
        <f>+IF(Índice!$D$2=1,"índice","Index")</f>
        <v>índice</v>
      </c>
    </row>
    <row r="3" spans="2:8" ht="12.75">
      <c r="B3"/>
      <c r="C3" s="307"/>
      <c r="D3" s="308" t="str">
        <f>+IF(Índice!$D$2=1,"março 2026","february 2026")</f>
        <v>março 2026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SFA execução mensal</v>
      </c>
      <c r="E4" s="313" t="str">
        <f>+IF(Índice!$D$2=1,"EPR execução mensal","RPE monthly execution")</f>
        <v>EPR execução mensal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Receita corrente</v>
      </c>
      <c r="D5" s="316">
        <v>66949.300349999932</v>
      </c>
      <c r="E5" s="316">
        <v>47037.470530000035</v>
      </c>
      <c r="F5" s="316">
        <v>113986.77087999997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66949.300349999932</v>
      </c>
      <c r="E9" s="74">
        <v>47037.470530000035</v>
      </c>
      <c r="F9" s="74">
        <v>113986.77087999997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64731.885649999931</v>
      </c>
      <c r="E10" s="74">
        <v>42230.576770000029</v>
      </c>
      <c r="F10" s="74">
        <v>106962.46241999997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1415.7860500000002</v>
      </c>
      <c r="E11" s="83">
        <v>1638.148529999999</v>
      </c>
      <c r="F11" s="83">
        <v>3053.9345799999992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1414.0044900000003</v>
      </c>
      <c r="E13" s="34">
        <v>1636.6784599999989</v>
      </c>
      <c r="F13" s="74">
        <v>3050.6829499999994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68365.086399999927</v>
      </c>
      <c r="E15" s="83">
        <v>48675.619060000034</v>
      </c>
      <c r="F15" s="83">
        <v>117040.70545999997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65856.013690000051</v>
      </c>
      <c r="E17" s="83">
        <v>58818.761180000001</v>
      </c>
      <c r="F17" s="83">
        <v>124674.77487000005</v>
      </c>
    </row>
    <row r="18" spans="3:6" ht="11.25" customHeight="1">
      <c r="C18" s="104" t="str">
        <f>+IF(Índice!$D$2=1,"Consumo público","Public consumption")</f>
        <v>Consumo público</v>
      </c>
      <c r="D18" s="74">
        <v>19048.034470000017</v>
      </c>
      <c r="E18" s="74">
        <v>57406.569050000006</v>
      </c>
      <c r="F18" s="74">
        <v>76454.603520000019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6034.3410600000007</v>
      </c>
      <c r="E19" s="74">
        <v>33909.76761000001</v>
      </c>
      <c r="F19" s="74">
        <v>39944.108670000009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13013.693410000016</v>
      </c>
      <c r="E20" s="74">
        <v>23496.801439999999</v>
      </c>
      <c r="F20" s="74">
        <v>36510.494850000017</v>
      </c>
    </row>
    <row r="21" spans="3:6" ht="11.25" customHeight="1">
      <c r="C21" s="104" t="str">
        <f>+IF(Índice!$D$2=1,"Subsídios","Subsidies")</f>
        <v>Subsídios</v>
      </c>
      <c r="D21" s="74">
        <v>3790.3606800000007</v>
      </c>
      <c r="E21" s="74">
        <v>0</v>
      </c>
      <c r="F21" s="74">
        <v>3790.3606800000007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38.010779999999997</v>
      </c>
      <c r="E22" s="74">
        <v>89.076920000000001</v>
      </c>
      <c r="F22" s="59">
        <v>127.0877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42979.607760000028</v>
      </c>
      <c r="E23" s="74">
        <v>1323.1152099999999</v>
      </c>
      <c r="F23" s="59">
        <v>44302.722970000032</v>
      </c>
    </row>
    <row r="24" spans="3:6" ht="11.25" customHeight="1">
      <c r="C24" s="110" t="str">
        <f>+IF(Índice!$D$2=1,"Despesa de capital","Capital expenditure")</f>
        <v>Despesa de capital</v>
      </c>
      <c r="D24" s="83">
        <v>2014.723</v>
      </c>
      <c r="E24" s="83">
        <v>2386.1812199999999</v>
      </c>
      <c r="F24" s="83">
        <v>4400.9042200000004</v>
      </c>
    </row>
    <row r="25" spans="3:6" ht="11.25" customHeight="1">
      <c r="C25" s="104" t="str">
        <f>+IF(Índice!$D$2=1,"Investimento","Investment")</f>
        <v>Investimento</v>
      </c>
      <c r="D25" s="74">
        <v>101.44895000000004</v>
      </c>
      <c r="E25" s="74">
        <v>2196.7401099999997</v>
      </c>
      <c r="F25" s="74">
        <v>2298.1890599999997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1913.27405</v>
      </c>
      <c r="E26" s="74">
        <v>189.44111000000001</v>
      </c>
      <c r="F26" s="74">
        <v>2102.7151600000002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67870.736690000049</v>
      </c>
      <c r="E29" s="83">
        <v>61204.9424</v>
      </c>
      <c r="F29" s="83">
        <v>129075.67909000005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Saldo global</v>
      </c>
      <c r="D31" s="318">
        <v>494.34970999987854</v>
      </c>
      <c r="E31" s="318">
        <v>-12529.323339999966</v>
      </c>
      <c r="F31" s="318">
        <v>-12034.973630000088</v>
      </c>
    </row>
    <row r="32" spans="3:6" ht="15" customHeight="1">
      <c r="C32" s="333" t="str">
        <f>+IF(Índice!$D$2=1,"Fonte: Secretaria Regional das Finanças","Source: Regional Finance Secretariat")</f>
        <v>Fonte: Secretaria Regional das Finanças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6" zoomScale="120" zoomScaleNormal="120" zoomScaleSheetLayoutView="100" zoomScalePageLayoutView="150" workbookViewId="0">
      <selection activeCell="B41" sqref="B4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10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março de 2026 (valores acumulados)","Table XIII- Accounts payable of the Regional Administration, march (accumulated)")</f>
        <v>QUADRO XIII - Contas a pagar, da Administração Regional, no final de março de 2026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9" t="s">
        <v>7</v>
      </c>
      <c r="D3" s="336" t="str">
        <f>+IF(Índice!$D$2=1,"março 2026","february 2026")</f>
        <v>março 2026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Variação face ao stock inicial de janeiro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Stock final do período</v>
      </c>
      <c r="E4" s="351"/>
      <c r="F4" s="351"/>
      <c r="G4" s="348" t="str">
        <f>+IF(Índice!$D$2=1,"Passivo","Liabilities")</f>
        <v>Passivo</v>
      </c>
      <c r="H4" s="348" t="str">
        <f>+IF(Índice!$D$2=1,"Contas a pagar","Accounts payable")</f>
        <v>Contas a pagar</v>
      </c>
      <c r="I4" s="337" t="str">
        <f>+IF(Índice!$D$2=1,"Pagamentos em atraso","Late payments")</f>
        <v>Pagamentos em atraso</v>
      </c>
    </row>
    <row r="5" spans="2:11" ht="22.5">
      <c r="B5" s="29"/>
      <c r="C5" s="339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9"/>
      <c r="H5" s="349"/>
      <c r="I5" s="338"/>
    </row>
    <row r="6" spans="2:11">
      <c r="B6" s="29"/>
      <c r="C6" s="119" t="str">
        <f>+IF(Índice!$D$2=1,"Despesa corrente","Current expenditure")</f>
        <v>Despesa corrente</v>
      </c>
      <c r="D6" s="162">
        <v>188785405.26000002</v>
      </c>
      <c r="E6" s="162">
        <v>179797557.39000002</v>
      </c>
      <c r="F6" s="162">
        <v>63566336.439999998</v>
      </c>
      <c r="G6" s="91">
        <v>0.13972633161253101</v>
      </c>
      <c r="H6" s="91">
        <v>0.12591782677999563</v>
      </c>
      <c r="I6" s="116">
        <v>2.489486562444609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11971251.01</v>
      </c>
      <c r="E7" s="165">
        <v>11442101.219999999</v>
      </c>
      <c r="F7" s="165">
        <v>157248.84</v>
      </c>
      <c r="G7" s="95">
        <v>1.3532733358520757</v>
      </c>
      <c r="H7" s="95">
        <v>1.4953122576192888</v>
      </c>
      <c r="I7" s="121">
        <v>0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105333113.72000001</v>
      </c>
      <c r="E8" s="165">
        <v>103421722.74000001</v>
      </c>
      <c r="F8" s="165">
        <v>30403061.860000007</v>
      </c>
      <c r="G8" s="95">
        <v>0.12238132192485995</v>
      </c>
      <c r="H8" s="95">
        <v>0.10583207822208984</v>
      </c>
      <c r="I8" s="121">
        <v>0.92229241508639581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4565624.5399999991</v>
      </c>
      <c r="E9" s="165">
        <v>3568231.4299999997</v>
      </c>
      <c r="F9" s="165">
        <v>2226842.62</v>
      </c>
      <c r="G9" s="95">
        <v>-0.25138179419204709</v>
      </c>
      <c r="H9" s="95">
        <v>0.33088862686687803</v>
      </c>
      <c r="I9" s="121">
        <v>0.1620496662983173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62473935.950000003</v>
      </c>
      <c r="E10" s="165">
        <v>56924342.769999996</v>
      </c>
      <c r="F10" s="165">
        <v>30778882.119999997</v>
      </c>
      <c r="G10" s="95">
        <v>3.1114796287108115E-2</v>
      </c>
      <c r="H10" s="95">
        <v>-3.3349448680782046E-2</v>
      </c>
      <c r="I10" s="121">
        <v>93.159581507561271</v>
      </c>
    </row>
    <row r="11" spans="2:11">
      <c r="B11" s="29"/>
      <c r="C11" s="120" t="str">
        <f>+IF(Índice!$D$2=1,"Subsídios","Subsidies")</f>
        <v>Subsídios</v>
      </c>
      <c r="D11" s="165">
        <v>4415014.0599999996</v>
      </c>
      <c r="E11" s="165">
        <v>4415014.0599999996</v>
      </c>
      <c r="F11" s="165">
        <v>0</v>
      </c>
      <c r="G11" s="95">
        <v>18885.952686516084</v>
      </c>
      <c r="H11" s="95">
        <v>18885.952686516084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26465.979999999996</v>
      </c>
      <c r="E12" s="165">
        <v>26145.17</v>
      </c>
      <c r="F12" s="165">
        <v>301</v>
      </c>
      <c r="G12" s="95">
        <v>0.44243709157896416</v>
      </c>
      <c r="H12" s="95">
        <v>1.4031701970228272</v>
      </c>
      <c r="I12" s="121">
        <v>4.9019607843137258</v>
      </c>
    </row>
    <row r="13" spans="2:11">
      <c r="B13" s="29"/>
      <c r="C13" s="115" t="str">
        <f>+IF(Índice!$D$2=1,"Despesa de capital","Capital expenditure")</f>
        <v>Despesa de capital</v>
      </c>
      <c r="D13" s="163">
        <v>31213042.969999999</v>
      </c>
      <c r="E13" s="163">
        <v>26182269.640000001</v>
      </c>
      <c r="F13" s="163">
        <v>207526.20999999996</v>
      </c>
      <c r="G13" s="92">
        <v>9.9103529393449019E-2</v>
      </c>
      <c r="H13" s="92">
        <v>0.24382374213424618</v>
      </c>
      <c r="I13" s="117">
        <v>0.43389038639536293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20610747.009999998</v>
      </c>
      <c r="E14" s="165">
        <v>16137974.699999996</v>
      </c>
      <c r="F14" s="165">
        <v>207526.20999999996</v>
      </c>
      <c r="G14" s="95">
        <v>0.14338979459519363</v>
      </c>
      <c r="H14" s="95">
        <v>0.4319198733507208</v>
      </c>
      <c r="I14" s="121">
        <v>0.43389038639536293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10602295.959999999</v>
      </c>
      <c r="E15" s="165">
        <v>10044294.939999999</v>
      </c>
      <c r="F15" s="165">
        <v>0</v>
      </c>
      <c r="G15" s="95">
        <v>2.2140994949779946E-2</v>
      </c>
      <c r="H15" s="95">
        <v>2.7060043107851373E-2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219998448.23000002</v>
      </c>
      <c r="E17" s="164">
        <v>205979827.03000003</v>
      </c>
      <c r="F17" s="164">
        <v>63773862.650000006</v>
      </c>
      <c r="G17" s="147">
        <v>0.1337809882863612</v>
      </c>
      <c r="H17" s="147">
        <v>0.13964973038181627</v>
      </c>
      <c r="I17" s="148">
        <v>2.4732836779450023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152068588.38999999</v>
      </c>
      <c r="E19" s="164">
        <v>138062451.13</v>
      </c>
      <c r="F19" s="164">
        <v>41485141.869999997</v>
      </c>
      <c r="G19" s="147">
        <v>0.22813308750019479</v>
      </c>
      <c r="H19" s="147">
        <v>0.24905665851910785</v>
      </c>
      <c r="I19" s="148">
        <v>8.0505309628491748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março de 2026 (valores acumulados)","Table XIV - Accounts payable of the Regional Gov., february (accumulated)")</f>
        <v>QUADRO XIV - Contas a pagar, do Governo Regional, no final de março de 2026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9" t="str">
        <f>+IF(Índice!$D$2=1,"Governo Regional","Regional Government")</f>
        <v>Governo Regional</v>
      </c>
      <c r="D24" s="336" t="str">
        <f>+IF(Índice!$D$2=1,"março 2026","february 2026")</f>
        <v>março 2026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Variação face ao stock inicial de janeiro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Stock final do período</v>
      </c>
      <c r="E25" s="351"/>
      <c r="F25" s="351"/>
      <c r="G25" s="348" t="str">
        <f>+IF(Índice!$D$2=1,"Passivo","Liabilities")</f>
        <v>Passivo</v>
      </c>
      <c r="H25" s="348" t="str">
        <f>+IF(Índice!$D$2=1,"Contas a pagar","Accounts payable")</f>
        <v>Contas a pagar</v>
      </c>
      <c r="I25" s="337" t="str">
        <f>+IF(Índice!$D$2=1,"Pagamentos em atraso","Late payments")</f>
        <v>Pagamentos em atraso</v>
      </c>
    </row>
    <row r="26" spans="2:9" ht="22.5">
      <c r="B26" s="29"/>
      <c r="C26" s="339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27898635.920000002</v>
      </c>
      <c r="E27" s="162">
        <v>20392001.980000004</v>
      </c>
      <c r="F27" s="162">
        <v>1256795.9399999997</v>
      </c>
      <c r="G27" s="91">
        <v>2.5168722455477326</v>
      </c>
      <c r="H27" s="91">
        <v>2.5441570968684419</v>
      </c>
      <c r="I27" s="116">
        <v>4.2103384684453626E-2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24454853.689999998</v>
      </c>
      <c r="E28" s="163">
        <v>19477876.109999999</v>
      </c>
      <c r="F28" s="163">
        <v>12202.55</v>
      </c>
      <c r="G28" s="92">
        <v>0.23370165818016697</v>
      </c>
      <c r="H28" s="172">
        <v>0.27914004768140099</v>
      </c>
      <c r="I28" s="117">
        <v>18.369126984126982</v>
      </c>
    </row>
    <row r="29" spans="2:9" ht="20.100000000000001" customHeight="1">
      <c r="B29" s="29"/>
      <c r="C29" s="146" t="s">
        <v>7</v>
      </c>
      <c r="D29" s="164">
        <v>52353489.609999999</v>
      </c>
      <c r="E29" s="164">
        <v>39869878.090000004</v>
      </c>
      <c r="F29" s="164">
        <v>1268998.4899999998</v>
      </c>
      <c r="G29" s="147">
        <v>0.88626301580331956</v>
      </c>
      <c r="H29" s="147">
        <v>0.90028340261306261</v>
      </c>
      <c r="I29" s="148">
        <v>5.167205779764461E-2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março de 2026 (valores acumulados)","Table XV - Accounts payable of the ASFs, february (accumulated)")</f>
        <v>QUADRO XV - Contas a pagar, dos Serviços e Fundos Autónomos, no final de março de 2026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0" t="str">
        <f>+IF(Índice!$D$2=1,"Serviços e Fundos Autónomos","Autonomous Services and Funds")</f>
        <v>Serviços e Fundos Autónomos</v>
      </c>
      <c r="D33" s="336" t="str">
        <f>+IF(Índice!$D$2=1,"março 2026","february 2026")</f>
        <v>março 2026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Variação face ao stock inicial de janeiro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Stock final do período</v>
      </c>
      <c r="E34" s="346"/>
      <c r="F34" s="347"/>
      <c r="G34" s="350" t="str">
        <f>+IF(Índice!$D$2=1,"Passivo","Liabilities")</f>
        <v>Passivo</v>
      </c>
      <c r="H34" s="350" t="str">
        <f>+IF(Índice!$D$2=1,"Contas a pagar","Accounts payable")</f>
        <v>Contas a pagar</v>
      </c>
      <c r="I34" s="337" t="str">
        <f>+IF(Índice!$D$2=1,"Pagamentos em atraso","Late payments")</f>
        <v>Pagamentos em atraso</v>
      </c>
    </row>
    <row r="35" spans="2:9" ht="22.5">
      <c r="C35" s="342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Despesa corrente</v>
      </c>
      <c r="D36" s="162">
        <v>98655434.040000021</v>
      </c>
      <c r="E36" s="162">
        <v>97186704.050000012</v>
      </c>
      <c r="F36" s="162">
        <v>40216143.379999995</v>
      </c>
      <c r="G36" s="91">
        <v>9.3717357352672837E-2</v>
      </c>
      <c r="H36" s="91">
        <v>9.2383045326800639E-2</v>
      </c>
      <c r="I36" s="116">
        <v>10.908568642086623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282679.03000000003</v>
      </c>
      <c r="E37" s="163">
        <v>228883.28</v>
      </c>
      <c r="F37" s="163">
        <v>0</v>
      </c>
      <c r="G37" s="92">
        <v>0.20826653250935445</v>
      </c>
      <c r="H37" s="92">
        <v>0.270455424100285</v>
      </c>
      <c r="I37" s="117">
        <v>0</v>
      </c>
    </row>
    <row r="38" spans="2:9" ht="20.100000000000001" customHeight="1">
      <c r="C38" s="146" t="s">
        <v>7</v>
      </c>
      <c r="D38" s="164">
        <v>98938113.070000023</v>
      </c>
      <c r="E38" s="164">
        <v>97415587.330000013</v>
      </c>
      <c r="F38" s="164">
        <v>40216143.379999995</v>
      </c>
      <c r="G38" s="147">
        <v>9.4013691668650035E-2</v>
      </c>
      <c r="H38" s="147">
        <v>9.2742911264589667E-2</v>
      </c>
      <c r="I38" s="148">
        <v>10.908568642086623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março de 2026 (valores acumulados)","Table XVI - Accounts payable of the RPEs, february (accumulated)")</f>
        <v>QUADRO XVI - Contas a pagar, das Entidades Públicas Reclassificadas, no final de março de 2026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0" t="str">
        <f>+IF(Índice!$D$2=1,"Entidades Públicas Reclassseicadas","Reclassseied Public Entities")</f>
        <v>Entidades Públicas Reclassseicadas</v>
      </c>
      <c r="D42" s="336" t="str">
        <f>+IF(Índice!$D$2=1,"março 2026","february 2026")</f>
        <v>março 2026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Variação face ao stock inicial de janeiro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Stock final do período</v>
      </c>
      <c r="E43" s="346"/>
      <c r="F43" s="347"/>
      <c r="G43" s="348" t="str">
        <f>+IF(Índice!$D$2=1,"Passivo","Liabilities")</f>
        <v>Passivo</v>
      </c>
      <c r="H43" s="348" t="str">
        <f>+IF(Índice!$D$2=1,"Contas a pagar","Accounts payable")</f>
        <v>Contas a pagar</v>
      </c>
      <c r="I43" s="337" t="str">
        <f>+IF(Índice!$D$2=1,"Pagamentos em atraso","Late payments")</f>
        <v>Pagamentos em atraso</v>
      </c>
    </row>
    <row r="44" spans="2:9" ht="22.5">
      <c r="C44" s="342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Despesa corrente</v>
      </c>
      <c r="D45" s="162">
        <v>62231335.300000004</v>
      </c>
      <c r="E45" s="162">
        <v>62218851.360000007</v>
      </c>
      <c r="F45" s="162">
        <v>22093397.120000005</v>
      </c>
      <c r="G45" s="91">
        <v>-7.8139687118645385E-2</v>
      </c>
      <c r="H45" s="91">
        <v>-4.232231355459759E-2</v>
      </c>
      <c r="I45" s="116">
        <v>0.62053045692784914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6475510.2499999991</v>
      </c>
      <c r="E46" s="163">
        <v>6475510.2499999991</v>
      </c>
      <c r="F46" s="163">
        <v>195323.65999999997</v>
      </c>
      <c r="G46" s="92">
        <v>-0.22377804322436956</v>
      </c>
      <c r="H46" s="92">
        <v>0.14766323065293219</v>
      </c>
      <c r="I46" s="117">
        <v>0.35547789624223469</v>
      </c>
    </row>
    <row r="47" spans="2:9" ht="20.100000000000001" customHeight="1">
      <c r="C47" s="146" t="s">
        <v>7</v>
      </c>
      <c r="D47" s="164">
        <v>68706845.549999997</v>
      </c>
      <c r="E47" s="164">
        <v>68694361.609999999</v>
      </c>
      <c r="F47" s="164">
        <v>22288720.780000005</v>
      </c>
      <c r="G47" s="147">
        <v>-9.4157982278093799E-2</v>
      </c>
      <c r="H47" s="147">
        <v>-2.7141016214109581E-2</v>
      </c>
      <c r="I47" s="148">
        <v>0.61775826750462737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74" zoomScale="85" zoomScaleNormal="85" workbookViewId="0">
      <selection activeCell="C115" sqref="C115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91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82</v>
      </c>
      <c r="D7" s="170"/>
      <c r="E7" s="169"/>
    </row>
    <row r="8" spans="2:5">
      <c r="B8" s="195"/>
      <c r="C8" s="170" t="s">
        <v>96</v>
      </c>
      <c r="D8" s="171"/>
      <c r="E8" s="169"/>
    </row>
    <row r="9" spans="2:5">
      <c r="B9" s="195"/>
      <c r="C9" s="170" t="s">
        <v>85</v>
      </c>
      <c r="D9" s="170"/>
      <c r="E9" s="169"/>
    </row>
    <row r="10" spans="2:5">
      <c r="B10" s="195"/>
      <c r="C10" s="170" t="s">
        <v>88</v>
      </c>
      <c r="D10" s="170"/>
      <c r="E10" s="169"/>
    </row>
    <row r="11" spans="2:5">
      <c r="B11" s="195"/>
      <c r="C11" s="171" t="s">
        <v>92</v>
      </c>
      <c r="D11" s="170"/>
      <c r="E11" s="169"/>
    </row>
    <row r="12" spans="2:5">
      <c r="B12" s="195"/>
      <c r="C12" s="170" t="s">
        <v>15</v>
      </c>
      <c r="D12" s="170"/>
      <c r="E12" s="169"/>
    </row>
    <row r="13" spans="2:5">
      <c r="B13" s="195"/>
      <c r="C13" s="170" t="s">
        <v>97</v>
      </c>
      <c r="D13" s="170"/>
      <c r="E13" s="169"/>
    </row>
    <row r="14" spans="2:5">
      <c r="B14" s="195"/>
      <c r="C14" s="170" t="s">
        <v>90</v>
      </c>
      <c r="D14" s="170"/>
      <c r="E14" s="169"/>
    </row>
    <row r="15" spans="2:5">
      <c r="B15" s="195"/>
      <c r="C15" s="170" t="s">
        <v>48</v>
      </c>
      <c r="D15" s="170"/>
      <c r="E15" s="169"/>
    </row>
    <row r="16" spans="2:5">
      <c r="B16" s="195"/>
      <c r="C16" s="170" t="s">
        <v>49</v>
      </c>
      <c r="D16" s="170"/>
      <c r="E16" s="169"/>
    </row>
    <row r="17" spans="2:5">
      <c r="B17" s="195"/>
      <c r="C17" s="170" t="s">
        <v>50</v>
      </c>
      <c r="D17" s="171"/>
      <c r="E17" s="169"/>
    </row>
    <row r="18" spans="2:5">
      <c r="B18" s="195"/>
      <c r="C18" s="170" t="s">
        <v>16</v>
      </c>
      <c r="D18" s="170"/>
      <c r="E18" s="169"/>
    </row>
    <row r="19" spans="2:5">
      <c r="B19" s="195"/>
      <c r="C19" s="170" t="s">
        <v>38</v>
      </c>
      <c r="D19" s="170"/>
      <c r="E19" s="169"/>
    </row>
    <row r="20" spans="2:5">
      <c r="B20" s="195"/>
      <c r="C20" s="170" t="s">
        <v>51</v>
      </c>
      <c r="D20" s="170"/>
      <c r="E20" s="169"/>
    </row>
    <row r="21" spans="2:5">
      <c r="B21" s="195"/>
      <c r="C21" s="170" t="s">
        <v>62</v>
      </c>
      <c r="D21" s="170"/>
      <c r="E21" s="169"/>
    </row>
    <row r="22" spans="2:5">
      <c r="B22" s="195"/>
      <c r="C22" s="170" t="s">
        <v>60</v>
      </c>
      <c r="D22" s="170"/>
      <c r="E22" s="169"/>
    </row>
    <row r="23" spans="2:5">
      <c r="B23" s="195"/>
      <c r="C23" s="170" t="s">
        <v>17</v>
      </c>
      <c r="D23" s="170"/>
      <c r="E23" s="169"/>
    </row>
    <row r="24" spans="2:5">
      <c r="B24" s="195"/>
      <c r="C24" s="170" t="s">
        <v>63</v>
      </c>
      <c r="D24" s="170"/>
      <c r="E24" s="169"/>
    </row>
    <row r="25" spans="2:5">
      <c r="B25" s="195"/>
      <c r="C25" s="170" t="s">
        <v>39</v>
      </c>
      <c r="D25" s="170"/>
      <c r="E25" s="169"/>
    </row>
    <row r="26" spans="2:5">
      <c r="B26" s="195"/>
      <c r="C26" s="170" t="s">
        <v>84</v>
      </c>
      <c r="D26" s="170"/>
      <c r="E26" s="169"/>
    </row>
    <row r="27" spans="2:5">
      <c r="B27" s="195"/>
      <c r="C27" s="170" t="s">
        <v>52</v>
      </c>
      <c r="D27" s="170"/>
      <c r="E27" s="169"/>
    </row>
    <row r="28" spans="2:5">
      <c r="B28" s="195"/>
      <c r="C28" s="170" t="s">
        <v>64</v>
      </c>
      <c r="D28" s="170"/>
      <c r="E28" s="169"/>
    </row>
    <row r="29" spans="2:5">
      <c r="B29" s="55"/>
      <c r="C29" s="170" t="s">
        <v>53</v>
      </c>
      <c r="D29" s="170"/>
      <c r="E29" s="169"/>
    </row>
    <row r="30" spans="2:5">
      <c r="B30" s="55"/>
      <c r="C30" s="170" t="s">
        <v>54</v>
      </c>
      <c r="D30" s="170"/>
      <c r="E30" s="169"/>
    </row>
    <row r="31" spans="2:5">
      <c r="B31" s="55"/>
      <c r="C31" s="170" t="s">
        <v>40</v>
      </c>
      <c r="D31" s="170"/>
      <c r="E31" s="169"/>
    </row>
    <row r="32" spans="2:5">
      <c r="B32" s="55"/>
      <c r="C32" s="170" t="s">
        <v>61</v>
      </c>
      <c r="D32" s="170"/>
      <c r="E32" s="169"/>
    </row>
    <row r="33" spans="2:5">
      <c r="B33" s="55"/>
      <c r="C33" s="170" t="s">
        <v>41</v>
      </c>
      <c r="D33" s="170"/>
      <c r="E33" s="169"/>
    </row>
    <row r="34" spans="2:5">
      <c r="B34" s="55"/>
      <c r="C34" s="170" t="s">
        <v>55</v>
      </c>
      <c r="D34" s="170"/>
      <c r="E34" s="169"/>
    </row>
    <row r="35" spans="2:5">
      <c r="B35" s="55"/>
      <c r="C35" s="170" t="s">
        <v>69</v>
      </c>
      <c r="D35" s="170"/>
      <c r="E35" s="169"/>
    </row>
    <row r="36" spans="2:5">
      <c r="B36" s="55"/>
      <c r="C36" s="170" t="s">
        <v>56</v>
      </c>
      <c r="D36" s="170"/>
      <c r="E36" s="169"/>
    </row>
    <row r="37" spans="2:5">
      <c r="B37" s="55"/>
      <c r="C37" s="170" t="s">
        <v>42</v>
      </c>
      <c r="D37" s="170"/>
      <c r="E37" s="169"/>
    </row>
    <row r="38" spans="2:5">
      <c r="B38" s="55"/>
      <c r="C38" s="170" t="s">
        <v>57</v>
      </c>
      <c r="D38" s="170"/>
      <c r="E38" s="169"/>
    </row>
    <row r="39" spans="2:5">
      <c r="B39" s="55"/>
      <c r="C39" s="170" t="s">
        <v>43</v>
      </c>
      <c r="D39" s="170"/>
      <c r="E39" s="169"/>
    </row>
    <row r="40" spans="2:5">
      <c r="B40" s="55"/>
      <c r="C40" s="171" t="s">
        <v>72</v>
      </c>
      <c r="D40" s="170"/>
      <c r="E40" s="169"/>
    </row>
    <row r="41" spans="2:5">
      <c r="B41" s="55"/>
      <c r="C41" s="170" t="s">
        <v>73</v>
      </c>
      <c r="D41" s="170"/>
      <c r="E41" s="169"/>
    </row>
    <row r="42" spans="2:5">
      <c r="B42" s="55"/>
      <c r="C42" s="170" t="s">
        <v>18</v>
      </c>
      <c r="D42" s="170"/>
      <c r="E42" s="169"/>
    </row>
    <row r="43" spans="2:5">
      <c r="B43" s="55"/>
      <c r="C43" s="170" t="s">
        <v>65</v>
      </c>
      <c r="D43" s="171"/>
      <c r="E43" s="169"/>
    </row>
    <row r="44" spans="2:5">
      <c r="B44" s="55"/>
      <c r="C44" s="170" t="s">
        <v>74</v>
      </c>
      <c r="D44" s="170"/>
      <c r="E44" s="169"/>
    </row>
    <row r="45" spans="2:5">
      <c r="B45" s="55"/>
      <c r="C45" s="171" t="s">
        <v>23</v>
      </c>
      <c r="D45" s="171"/>
      <c r="E45" s="169"/>
    </row>
    <row r="46" spans="2:5">
      <c r="B46" s="55"/>
      <c r="C46" s="170" t="s">
        <v>73</v>
      </c>
      <c r="D46" s="170"/>
      <c r="E46" s="169"/>
    </row>
    <row r="47" spans="2:5">
      <c r="B47" s="55"/>
      <c r="C47" s="170" t="s">
        <v>89</v>
      </c>
      <c r="D47" s="170"/>
      <c r="E47" s="169"/>
    </row>
    <row r="48" spans="2:5">
      <c r="B48" s="55"/>
      <c r="C48" s="170" t="s">
        <v>24</v>
      </c>
      <c r="D48" s="170"/>
      <c r="E48" s="169"/>
    </row>
    <row r="49" spans="2:5">
      <c r="B49" s="55"/>
      <c r="C49" s="171" t="s">
        <v>19</v>
      </c>
      <c r="D49" s="170"/>
      <c r="E49" s="169"/>
    </row>
    <row r="50" spans="2:5">
      <c r="B50" s="55"/>
      <c r="C50" s="170" t="s">
        <v>44</v>
      </c>
      <c r="D50" s="171"/>
      <c r="E50" s="169"/>
    </row>
    <row r="51" spans="2:5">
      <c r="B51" s="55"/>
      <c r="C51" s="170" t="s">
        <v>45</v>
      </c>
      <c r="D51" s="170"/>
      <c r="E51" s="169"/>
    </row>
    <row r="52" spans="2:5">
      <c r="B52" s="55"/>
      <c r="C52" s="170" t="s">
        <v>36</v>
      </c>
      <c r="D52" s="170"/>
      <c r="E52" s="169"/>
    </row>
    <row r="53" spans="2:5">
      <c r="B53" s="55"/>
      <c r="C53" s="170" t="s">
        <v>20</v>
      </c>
      <c r="D53" s="170"/>
      <c r="E53" s="169"/>
    </row>
    <row r="54" spans="2:5">
      <c r="B54" s="55"/>
      <c r="C54" s="170" t="s">
        <v>46</v>
      </c>
      <c r="D54" s="171"/>
      <c r="E54" s="169"/>
    </row>
    <row r="55" spans="2:5">
      <c r="B55" s="55"/>
      <c r="C55" s="170" t="s">
        <v>21</v>
      </c>
    </row>
    <row r="56" spans="2:5">
      <c r="B56" s="55"/>
      <c r="C56" s="170" t="s">
        <v>22</v>
      </c>
    </row>
    <row r="57" spans="2:5">
      <c r="B57" s="55"/>
      <c r="C57" s="170" t="s">
        <v>37</v>
      </c>
    </row>
    <row r="58" spans="2:5">
      <c r="B58" s="55"/>
      <c r="C58" s="170" t="s">
        <v>75</v>
      </c>
    </row>
    <row r="59" spans="2:5">
      <c r="B59" s="55"/>
      <c r="C59" s="171" t="s">
        <v>76</v>
      </c>
    </row>
    <row r="60" spans="2:5">
      <c r="B60" s="55"/>
      <c r="C60" s="170" t="s">
        <v>73</v>
      </c>
    </row>
    <row r="61" spans="2:5">
      <c r="B61" s="55"/>
      <c r="C61" s="170" t="s">
        <v>98</v>
      </c>
    </row>
    <row r="62" spans="2:5">
      <c r="B62" s="55"/>
      <c r="C62" s="170" t="s">
        <v>67</v>
      </c>
    </row>
    <row r="63" spans="2:5">
      <c r="B63" s="55"/>
      <c r="C63" s="170" t="s">
        <v>77</v>
      </c>
    </row>
    <row r="64" spans="2:5">
      <c r="B64" s="55"/>
      <c r="C64" s="171" t="s">
        <v>66</v>
      </c>
    </row>
    <row r="65" spans="2:3">
      <c r="B65" s="55"/>
      <c r="C65" s="170" t="s">
        <v>73</v>
      </c>
    </row>
    <row r="66" spans="2:3">
      <c r="B66" s="55"/>
      <c r="C66" s="170" t="s">
        <v>58</v>
      </c>
    </row>
    <row r="67" spans="2:3">
      <c r="B67" s="55"/>
      <c r="C67" s="170" t="s">
        <v>25</v>
      </c>
    </row>
    <row r="68" spans="2:3">
      <c r="B68" s="55"/>
      <c r="C68" s="170" t="s">
        <v>86</v>
      </c>
    </row>
    <row r="69" spans="2:3">
      <c r="B69" s="55"/>
      <c r="C69" s="170" t="s">
        <v>78</v>
      </c>
    </row>
    <row r="70" spans="2:3">
      <c r="B70" s="55"/>
      <c r="C70" s="171" t="s">
        <v>71</v>
      </c>
    </row>
    <row r="71" spans="2:3">
      <c r="B71" s="55"/>
      <c r="C71" s="170" t="s">
        <v>73</v>
      </c>
    </row>
    <row r="72" spans="2:3">
      <c r="B72" s="55"/>
      <c r="C72" s="170" t="s">
        <v>26</v>
      </c>
    </row>
    <row r="73" spans="2:3" ht="13.5" customHeight="1">
      <c r="B73" s="55"/>
      <c r="C73" s="170" t="s">
        <v>27</v>
      </c>
    </row>
    <row r="74" spans="2:3" ht="13.5" customHeight="1">
      <c r="B74" s="55"/>
      <c r="C74" s="170" t="s">
        <v>28</v>
      </c>
    </row>
    <row r="75" spans="2:3" ht="13.5" customHeight="1">
      <c r="B75" s="55"/>
      <c r="C75" s="170" t="s">
        <v>79</v>
      </c>
    </row>
    <row r="76" spans="2:3" ht="13.5" customHeight="1">
      <c r="B76" s="55"/>
      <c r="C76" s="289" t="s">
        <v>80</v>
      </c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 ht="13.5" customHeight="1">
      <c r="B79" s="55"/>
      <c r="C79" s="170"/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82</v>
      </c>
    </row>
    <row r="85" spans="2:3">
      <c r="B85" s="55"/>
      <c r="C85" s="170" t="s">
        <v>59</v>
      </c>
    </row>
    <row r="86" spans="2:3">
      <c r="B86" s="55"/>
      <c r="C86" s="171" t="s">
        <v>92</v>
      </c>
    </row>
    <row r="87" spans="2:3">
      <c r="B87" s="55"/>
      <c r="C87" s="170" t="s">
        <v>68</v>
      </c>
    </row>
    <row r="88" spans="2:3">
      <c r="B88" s="55"/>
      <c r="C88" s="170" t="s">
        <v>83</v>
      </c>
    </row>
    <row r="89" spans="2:3">
      <c r="B89" s="55"/>
      <c r="C89" s="170" t="s">
        <v>87</v>
      </c>
    </row>
    <row r="90" spans="2:3">
      <c r="B90" s="55"/>
      <c r="C90" s="171" t="s">
        <v>72</v>
      </c>
    </row>
    <row r="91" spans="2:3">
      <c r="B91" s="55"/>
      <c r="C91" s="170" t="s">
        <v>29</v>
      </c>
    </row>
    <row r="92" spans="2:3">
      <c r="B92" s="55"/>
      <c r="C92" s="170" t="s">
        <v>81</v>
      </c>
    </row>
    <row r="93" spans="2:3">
      <c r="B93" s="55"/>
      <c r="C93" s="171" t="s">
        <v>23</v>
      </c>
    </row>
    <row r="94" spans="2:3">
      <c r="B94" s="55"/>
      <c r="C94" s="170" t="s">
        <v>93</v>
      </c>
    </row>
    <row r="95" spans="2:3">
      <c r="B95" s="55"/>
      <c r="C95" s="171" t="s">
        <v>19</v>
      </c>
    </row>
    <row r="96" spans="2:3">
      <c r="B96" s="55"/>
      <c r="C96" s="170" t="s">
        <v>30</v>
      </c>
    </row>
    <row r="97" spans="2:3">
      <c r="B97" s="55"/>
      <c r="C97" s="170" t="s">
        <v>31</v>
      </c>
    </row>
    <row r="98" spans="2:3">
      <c r="B98" s="55"/>
      <c r="C98" s="170" t="s">
        <v>47</v>
      </c>
    </row>
    <row r="99" spans="2:3">
      <c r="B99" s="55"/>
      <c r="C99" s="171" t="s">
        <v>76</v>
      </c>
    </row>
    <row r="100" spans="2:3">
      <c r="B100" s="55"/>
      <c r="C100" s="171" t="s">
        <v>66</v>
      </c>
    </row>
    <row r="101" spans="2:3">
      <c r="B101" s="55"/>
      <c r="C101" s="170" t="s">
        <v>95</v>
      </c>
    </row>
    <row r="102" spans="2:3">
      <c r="B102" s="55"/>
      <c r="C102" s="171" t="s">
        <v>71</v>
      </c>
    </row>
    <row r="103" spans="2:3">
      <c r="B103" s="55"/>
      <c r="C103" s="170" t="s">
        <v>32</v>
      </c>
    </row>
    <row r="104" spans="2:3">
      <c r="B104" s="55"/>
      <c r="C104" s="170" t="s">
        <v>33</v>
      </c>
    </row>
    <row r="105" spans="2:3">
      <c r="B105" s="55"/>
      <c r="C105" s="170" t="s">
        <v>34</v>
      </c>
    </row>
    <row r="106" spans="2:3">
      <c r="B106" s="55"/>
      <c r="C106" s="170" t="s">
        <v>35</v>
      </c>
    </row>
    <row r="107" spans="2:3">
      <c r="B107" s="55"/>
      <c r="C107" s="170" t="s">
        <v>94</v>
      </c>
    </row>
    <row r="108" spans="2:3">
      <c r="C108" s="170" t="s">
        <v>70</v>
      </c>
    </row>
    <row r="109" spans="2:3">
      <c r="C109" s="289"/>
    </row>
    <row r="110" spans="2:3">
      <c r="C110" s="170"/>
    </row>
    <row r="111" spans="2:3">
      <c r="C111" s="170"/>
    </row>
    <row r="112" spans="2:3">
      <c r="C112" s="170"/>
    </row>
    <row r="113" spans="3:3">
      <c r="C113" s="170"/>
    </row>
    <row r="114" spans="3:3">
      <c r="C114" s="170"/>
    </row>
    <row r="115" spans="3:3">
      <c r="C115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/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(janeiro-março)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(janeiro-março)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(março)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(janeiro-março)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(janeiro-março)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(janeiro-março)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(janeiro-março)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(janeiro-março)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(janeiro-março)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QUADRO X - Execução orçamental dos Serviços e Fundos Autónomos e EPR (janeiro-março)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(janeiro-março)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(março)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QUADRO XIII - Contas a pagar, da Administração Regional, no final de março de 2026 (valores acumulados)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QUADRO XIV - Contas a pagar, do Governo Regional, no final de março de 2026 (valores acumulados)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QUADRO XV - Contas a pagar, dos Serviços e Fundos Autónomos, no final de março de 2026 (valores acumulados)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QUADRO XVI - Contas a pagar, das Entidades Públicas Reclassificadas, no final de março de 2026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3_14_15_16_Compromissos!B41" display="Q_13_14_15_16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3_14_15_16_Compromissos!B2" display="Q_13_14_15_16_Compromissos!B2" xr:uid="{B7AE2B94-05CF-4D8E-8A81-72508CF8DB67}"/>
    <hyperlink ref="A16" location="Q_13_14_15_16_Compromissos!B23" display="Q_13_14_15_16_Compromissos!B23" xr:uid="{4D85DF17-CBC3-4CA4-9E81-59CFADE51B83}"/>
    <hyperlink ref="A17" location="Q_13_14_15_16_Compromissos!B32" display="Q_13_14_15_16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topLeftCell="A2" zoomScale="120" zoomScaleNormal="120" zoomScalePageLayoutView="125" workbookViewId="0">
      <selection activeCell="B2" sqref="B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(janeiro-março)","TABLE I - Consolidated budget execution (january-march)")</f>
        <v>QUADRO I - Execução orçamental consolidada (janeiro-março)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2026","Consolidated balance")</f>
        <v>Saldo
consolidado
2026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317427.26660999999</v>
      </c>
      <c r="E5" s="57">
        <v>157365.37875999996</v>
      </c>
      <c r="F5" s="57">
        <v>118500.28975000001</v>
      </c>
      <c r="G5" s="57">
        <v>372999.17368000001</v>
      </c>
      <c r="H5" s="57">
        <v>5.8093916810655788</v>
      </c>
    </row>
    <row r="6" spans="1:10" ht="11.25" customHeight="1">
      <c r="C6" s="68" t="str">
        <f>+IF(Índice!$D$2=1,"Impostos diretos","Direct taxes")</f>
        <v>Impostos diretos</v>
      </c>
      <c r="D6" s="56">
        <v>60534.629080000006</v>
      </c>
      <c r="E6" s="56">
        <v>0</v>
      </c>
      <c r="F6" s="56">
        <v>0</v>
      </c>
      <c r="G6" s="56">
        <v>60534.629080000006</v>
      </c>
      <c r="H6" s="56">
        <v>3.7594857448244756</v>
      </c>
    </row>
    <row r="7" spans="1:10">
      <c r="C7" s="68" t="str">
        <f>+IF(Índice!$D$2=1,"Impostos indiretos","Indirect taxes")</f>
        <v>Impostos indiretos</v>
      </c>
      <c r="D7" s="56">
        <v>193919.20668999999</v>
      </c>
      <c r="E7" s="56">
        <v>0</v>
      </c>
      <c r="F7" s="56">
        <v>0</v>
      </c>
      <c r="G7" s="56">
        <v>193919.20668999999</v>
      </c>
      <c r="H7" s="56">
        <v>6.3271358247790621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62973.430840000001</v>
      </c>
      <c r="E9" s="56">
        <v>157365.37875999996</v>
      </c>
      <c r="F9" s="56">
        <v>118500.28975000001</v>
      </c>
      <c r="G9" s="56">
        <v>90744.467560000019</v>
      </c>
      <c r="H9" s="56">
        <v>-15.049217269693738</v>
      </c>
    </row>
    <row r="10" spans="1:10">
      <c r="C10" s="69" t="str">
        <f>+IF(Índice!$D$2=1,"Transferências correntes","Current transfers")</f>
        <v>Transferências correntes</v>
      </c>
      <c r="D10" s="56">
        <v>54311.77448</v>
      </c>
      <c r="E10" s="56">
        <v>152602.62998999996</v>
      </c>
      <c r="F10" s="56">
        <v>106026.90573</v>
      </c>
      <c r="G10" s="56">
        <v>64846.678409999993</v>
      </c>
      <c r="H10" s="56">
        <v>-16.450407178557612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53594.06</v>
      </c>
      <c r="E11" s="56">
        <v>497.06826000000001</v>
      </c>
      <c r="F11" s="56">
        <v>0</v>
      </c>
      <c r="G11" s="56">
        <v>54091.128259999998</v>
      </c>
      <c r="H11" s="56">
        <v>-14.165650124614071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143149.76083999997</v>
      </c>
      <c r="F12" s="56">
        <v>104944.87095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27800.870349999968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9045.7839999999997</v>
      </c>
      <c r="E14" s="57">
        <v>4172.6048999999994</v>
      </c>
      <c r="F14" s="57">
        <v>5924.89275</v>
      </c>
      <c r="G14" s="57">
        <v>16787.784189999995</v>
      </c>
      <c r="H14" s="57">
        <v>-67.308372162952551</v>
      </c>
    </row>
    <row r="15" spans="1:10">
      <c r="C15" s="68" t="str">
        <f>+IF(Índice!$D$2=1,"Venda de bens de investimento","Sale of investment goods")</f>
        <v>Venda de bens de investimento</v>
      </c>
      <c r="D15" s="56">
        <v>365.03</v>
      </c>
      <c r="E15" s="56">
        <v>0</v>
      </c>
      <c r="F15" s="56">
        <v>18.527999999999999</v>
      </c>
      <c r="G15" s="56">
        <v>383.55799999999999</v>
      </c>
      <c r="H15" s="56">
        <v>-67.890435123874781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6319.8085499999997</v>
      </c>
      <c r="E16" s="56">
        <v>4150.5823099999998</v>
      </c>
      <c r="F16" s="56">
        <v>5894.9814399999996</v>
      </c>
      <c r="G16" s="56">
        <v>13566.882569999998</v>
      </c>
      <c r="H16" s="56">
        <v>-69.091604781351379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247.29670999999999</v>
      </c>
      <c r="E17" s="56">
        <v>0</v>
      </c>
      <c r="F17" s="56">
        <v>0</v>
      </c>
      <c r="G17" s="56">
        <v>247.29670999999999</v>
      </c>
      <c r="H17" s="56">
        <v>-99.093192960307789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1150.81158</v>
      </c>
      <c r="F18" s="56">
        <v>1647.67815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442.99227000000019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326473.05061000003</v>
      </c>
      <c r="E20" s="57">
        <v>161537.98365999997</v>
      </c>
      <c r="F20" s="57">
        <v>124425.18250000001</v>
      </c>
      <c r="G20" s="57">
        <v>389786.95786999998</v>
      </c>
      <c r="H20" s="57">
        <v>-3.487465304577908</v>
      </c>
    </row>
    <row r="21" spans="3:8" ht="20.25" customHeight="1">
      <c r="C21" s="220" t="str">
        <f>+IF(Índice!$D$2=1,"Despesa corrente","Current expenditure")</f>
        <v>Despesa corrente</v>
      </c>
      <c r="D21" s="220">
        <v>329690.72800999996</v>
      </c>
      <c r="E21" s="220">
        <v>152956.14158000002</v>
      </c>
      <c r="F21" s="220">
        <v>112170.45741</v>
      </c>
      <c r="G21" s="220">
        <v>374523.56555999996</v>
      </c>
      <c r="H21" s="220">
        <v>10.196401477249694</v>
      </c>
    </row>
    <row r="22" spans="3:8" ht="10.5" customHeight="1">
      <c r="C22" s="68" t="str">
        <f>+IF(Índice!$D$2=1,"Consumo público","Public consumption")</f>
        <v>Consumo público</v>
      </c>
      <c r="D22" s="56">
        <v>171331.51200000002</v>
      </c>
      <c r="E22" s="56">
        <v>37051.717530000009</v>
      </c>
      <c r="F22" s="56">
        <v>108383.39154</v>
      </c>
      <c r="G22" s="56">
        <v>316766.62106999999</v>
      </c>
      <c r="H22" s="56">
        <v>13.094876574579528</v>
      </c>
    </row>
    <row r="23" spans="3:8">
      <c r="C23" s="69" t="str">
        <f>+IF(Índice!$D$2=1,"Despesas com o pessoal","Compensation of employees")</f>
        <v>Despesas com o pessoal</v>
      </c>
      <c r="D23" s="56">
        <v>113669.44981000003</v>
      </c>
      <c r="E23" s="56">
        <v>15146.107900000003</v>
      </c>
      <c r="F23" s="56">
        <v>76495.83974000001</v>
      </c>
      <c r="G23" s="56">
        <v>205311.39745000005</v>
      </c>
      <c r="H23" s="56">
        <v>9.423991437629331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57662.06218999999</v>
      </c>
      <c r="E24" s="56">
        <v>21905.609630000003</v>
      </c>
      <c r="F24" s="56">
        <v>31887.55179999999</v>
      </c>
      <c r="G24" s="56">
        <v>111455.22361999998</v>
      </c>
      <c r="H24" s="56">
        <v>20.544206642391984</v>
      </c>
    </row>
    <row r="25" spans="3:8">
      <c r="C25" s="68" t="str">
        <f>+IF(Índice!$D$2=1,"Subsídios","Subsidies")</f>
        <v>Subsídios</v>
      </c>
      <c r="D25" s="56">
        <v>1215.9403800000002</v>
      </c>
      <c r="E25" s="56">
        <v>7818.1990300000007</v>
      </c>
      <c r="F25" s="56">
        <v>0</v>
      </c>
      <c r="G25" s="56">
        <v>9025.9980300000025</v>
      </c>
      <c r="H25" s="56">
        <v>29.750764769229797</v>
      </c>
    </row>
    <row r="26" spans="3:8">
      <c r="C26" s="68" t="str">
        <f>+IF(Índice!$D$2=1,"Juros e outros encargos","Interests and other charges")</f>
        <v>Juros e outros encargos</v>
      </c>
      <c r="D26" s="56">
        <v>22361.668519999999</v>
      </c>
      <c r="E26" s="56">
        <v>62.83126</v>
      </c>
      <c r="F26" s="56">
        <v>90.523039999999995</v>
      </c>
      <c r="G26" s="56">
        <v>22515.022819999998</v>
      </c>
      <c r="H26" s="56">
        <v>-1.0841733427939704</v>
      </c>
    </row>
    <row r="27" spans="3:8">
      <c r="C27" s="68" t="str">
        <f>+IF(Índice!$D$2=1,"Transferências correntes","Current transfers")</f>
        <v>Transferências correntes</v>
      </c>
      <c r="D27" s="56">
        <v>134781.60710999992</v>
      </c>
      <c r="E27" s="56">
        <v>108023.39376000001</v>
      </c>
      <c r="F27" s="56">
        <v>3696.5428299999999</v>
      </c>
      <c r="G27" s="56">
        <v>26215.923639999935</v>
      </c>
      <c r="H27" s="56">
        <v>-12.792812473906434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905.87963000000013</v>
      </c>
      <c r="F28" s="56">
        <v>0</v>
      </c>
      <c r="G28" s="56">
        <v>905.87963000000013</v>
      </c>
      <c r="H28" s="56">
        <v>49.636034660640945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120919.05516999999</v>
      </c>
      <c r="E29" s="56">
        <v>99366.564889999994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15449.503769999992</v>
      </c>
      <c r="E31" s="57">
        <v>3895.3061399999997</v>
      </c>
      <c r="F31" s="57">
        <v>5467.1172799999995</v>
      </c>
      <c r="G31" s="57">
        <v>22456.429729999993</v>
      </c>
      <c r="H31" s="57">
        <v>-25.554630685017433</v>
      </c>
    </row>
    <row r="32" spans="3:8">
      <c r="C32" s="68" t="str">
        <f>+IF(Índice!$D$2=1,"Investimento","Investment")</f>
        <v>Investimento</v>
      </c>
      <c r="D32" s="56">
        <v>5662.1177599999946</v>
      </c>
      <c r="E32" s="56">
        <v>278.00774999999999</v>
      </c>
      <c r="F32" s="56">
        <v>5218.9161699999995</v>
      </c>
      <c r="G32" s="56">
        <v>11159.041679999995</v>
      </c>
      <c r="H32" s="56">
        <v>-55.990821032846647</v>
      </c>
    </row>
    <row r="33" spans="3:8">
      <c r="C33" s="68" t="str">
        <f>+IF(Índice!$D$2=1,"Transferências capital","Capital transfers")</f>
        <v>Transferências capital</v>
      </c>
      <c r="D33" s="56">
        <v>9787.3860099999984</v>
      </c>
      <c r="E33" s="56">
        <v>3617.2983899999999</v>
      </c>
      <c r="F33" s="56">
        <v>248.20111000000003</v>
      </c>
      <c r="G33" s="56">
        <v>11297.388049999998</v>
      </c>
      <c r="H33" s="56">
        <v>134.93106101947009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796.89015000000006</v>
      </c>
      <c r="E34" s="56">
        <v>0</v>
      </c>
      <c r="F34" s="56">
        <v>0</v>
      </c>
      <c r="G34" s="56">
        <v>796.89015000000006</v>
      </c>
      <c r="H34" s="56">
        <v>-15.266437607824891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2314.49746</v>
      </c>
      <c r="E35" s="56">
        <v>0</v>
      </c>
      <c r="F35" s="56">
        <v>41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345140.23177999991</v>
      </c>
      <c r="E38" s="86">
        <v>156851.44772</v>
      </c>
      <c r="F38" s="86">
        <v>117637.57469000001</v>
      </c>
      <c r="G38" s="86">
        <v>396979.99528999993</v>
      </c>
      <c r="H38" s="86">
        <v>7.2819969484812397</v>
      </c>
    </row>
    <row r="39" spans="3:8" ht="17.25" customHeight="1">
      <c r="C39" s="138" t="str">
        <f>+IF(Índice!$D$2=1,"Saldo global","Overall balance")</f>
        <v>Saldo global</v>
      </c>
      <c r="D39" s="139">
        <v>-18667.18116999988</v>
      </c>
      <c r="E39" s="139">
        <v>4686.5359399999725</v>
      </c>
      <c r="F39" s="139">
        <v>6787.6078100000013</v>
      </c>
      <c r="G39" s="139">
        <v>-7193.0374199999496</v>
      </c>
      <c r="H39" s="139">
        <v>-121.25744881933862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-12263.461399999971</v>
      </c>
      <c r="E41" s="19">
        <v>4409.2371799999382</v>
      </c>
      <c r="F41" s="19">
        <v>6329.8323400000081</v>
      </c>
      <c r="G41" s="19">
        <v>-1524.3918799999519</v>
      </c>
      <c r="H41" s="19">
        <v>-112.04979707769587</v>
      </c>
    </row>
    <row r="42" spans="3:8">
      <c r="C42" s="68" t="str">
        <f>+IF(Índice!$D$2=1,"Despesa corrente primária","Primary current expenditure")</f>
        <v>Despesa corrente primária</v>
      </c>
      <c r="D42" s="19">
        <v>307329.05948999996</v>
      </c>
      <c r="E42" s="19">
        <v>152893.31032000002</v>
      </c>
      <c r="F42" s="19">
        <v>112079.93437</v>
      </c>
      <c r="G42" s="19">
        <v>352008.54273999995</v>
      </c>
      <c r="H42" s="19">
        <v>11.006115272044671</v>
      </c>
    </row>
    <row r="43" spans="3:8">
      <c r="C43" s="68" t="str">
        <f>+IF(Índice!$D$2=1,"Saldo corrente primário","Primary current balance")</f>
        <v>Saldo corrente primário</v>
      </c>
      <c r="D43" s="19">
        <v>10098.207120000036</v>
      </c>
      <c r="E43" s="19">
        <v>4472.0684399999445</v>
      </c>
      <c r="F43" s="19">
        <v>6420.3553800000082</v>
      </c>
      <c r="G43" s="19">
        <v>20990.630940000061</v>
      </c>
      <c r="H43" s="19">
        <v>-40.725476921600787</v>
      </c>
    </row>
    <row r="44" spans="3:8">
      <c r="C44" s="68" t="str">
        <f>+IF(Índice!$D$2=1,"Saldo de capital","Capital balance")</f>
        <v>Saldo de capital</v>
      </c>
      <c r="D44" s="19">
        <v>-6403.7197699999924</v>
      </c>
      <c r="E44" s="19">
        <v>277.29875999999967</v>
      </c>
      <c r="F44" s="19">
        <v>457.7754700000005</v>
      </c>
      <c r="G44" s="19">
        <v>-5668.6455399999977</v>
      </c>
      <c r="H44" s="19">
        <v>-126.75535292746835</v>
      </c>
    </row>
    <row r="45" spans="3:8">
      <c r="C45" s="68" t="str">
        <f t="array" ref="C45">+IF(Índice!$D$2=1,"Despesa primária","Primary expenditure")</f>
        <v>Despesa primária</v>
      </c>
      <c r="D45" s="19">
        <v>322778.56325999991</v>
      </c>
      <c r="E45" s="19">
        <v>156788.61645999999</v>
      </c>
      <c r="F45" s="19">
        <v>117547.05165000001</v>
      </c>
      <c r="G45" s="19">
        <v>374464.97246999992</v>
      </c>
      <c r="H45" s="19">
        <v>7.8303536261058904</v>
      </c>
    </row>
    <row r="46" spans="3:8">
      <c r="C46" s="221" t="str">
        <f>+IF(Índice!$D$2=1,"Saldo primário","Primary balance")</f>
        <v>Saldo primário</v>
      </c>
      <c r="D46" s="132">
        <v>3694.4873500001268</v>
      </c>
      <c r="E46" s="132">
        <v>4749.3671999999788</v>
      </c>
      <c r="F46" s="132">
        <v>6878.1308500000014</v>
      </c>
      <c r="G46" s="132">
        <v>15321.985400000063</v>
      </c>
      <c r="H46" s="132">
        <v>-72.929128102558778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(janeiro-março)","TABLE II - Regional Gov. budget execution (january-march)")</f>
        <v>QUADRO II - Execução orçamental do Gov. Regional (janeiro-março)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2025</v>
      </c>
      <c r="E3" s="156">
        <v>2026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316631.57624000002</v>
      </c>
      <c r="E5" s="225">
        <v>317427.26660999999</v>
      </c>
      <c r="F5" s="225">
        <v>0.25129849001441773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240721.08604000002</v>
      </c>
      <c r="E6" s="231">
        <v>254453.83577000001</v>
      </c>
      <c r="F6" s="231">
        <v>5.7048387226526831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58341.29636</v>
      </c>
      <c r="E7" s="231">
        <v>60534.629080000006</v>
      </c>
      <c r="F7" s="231">
        <v>3.7594857448244756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182379.78968000002</v>
      </c>
      <c r="E8" s="231">
        <v>193919.20668999999</v>
      </c>
      <c r="F8" s="231">
        <v>6.3271358247790621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75910.490199999986</v>
      </c>
      <c r="E9" s="231">
        <v>62973.430840000001</v>
      </c>
      <c r="F9" s="231">
        <v>-17.042518531911664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35452.916669999999</v>
      </c>
      <c r="E10" s="232">
        <v>9045.7839999999997</v>
      </c>
      <c r="F10" s="232">
        <v>-74.485078098935432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352084.49291000003</v>
      </c>
      <c r="E12" s="232">
        <v>326473.05060999998</v>
      </c>
      <c r="F12" s="232">
        <v>-7.2742318437031717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307223.14763000014</v>
      </c>
      <c r="E14" s="232">
        <v>329690.72801000002</v>
      </c>
      <c r="F14" s="232">
        <v>7.3131144424893435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105557.30668000017</v>
      </c>
      <c r="E15" s="231">
        <v>113669.44981000008</v>
      </c>
      <c r="F15" s="231">
        <v>7.685060736337368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44531.961289999956</v>
      </c>
      <c r="E16" s="231">
        <v>57287.75443999999</v>
      </c>
      <c r="F16" s="231">
        <v>28.644130598542628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22587.187590000005</v>
      </c>
      <c r="E17" s="231">
        <v>22361.668519999999</v>
      </c>
      <c r="F17" s="231">
        <v>-0.99843802643162505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133200.86314999999</v>
      </c>
      <c r="E18" s="231">
        <v>134781.60710999998</v>
      </c>
      <c r="F18" s="231">
        <v>1.186737024534068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116607.05221999998</v>
      </c>
      <c r="E19" s="231">
        <v>120919.05516999999</v>
      </c>
      <c r="F19" s="231">
        <v>3.6978920810592619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16593.810929999992</v>
      </c>
      <c r="E20" s="231">
        <v>13862.551939999996</v>
      </c>
      <c r="F20" s="231">
        <v>-16.459504097772658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1103.2491500000001</v>
      </c>
      <c r="E21" s="231">
        <v>1215.9403800000002</v>
      </c>
      <c r="F21" s="231">
        <v>10.214486002549839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242.57977000000002</v>
      </c>
      <c r="E22" s="231">
        <v>374.30775000000011</v>
      </c>
      <c r="F22" s="231">
        <v>54.30295362222499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19722.58538</v>
      </c>
      <c r="E23" s="232">
        <v>15449.503769999996</v>
      </c>
      <c r="F23" s="232">
        <v>-21.665930341633565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12426.25351</v>
      </c>
      <c r="E24" s="231">
        <v>5662.1177599999946</v>
      </c>
      <c r="F24" s="231">
        <v>-54.434232687725078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7296.33187</v>
      </c>
      <c r="E25" s="231">
        <v>9787.3860100000002</v>
      </c>
      <c r="F25" s="231">
        <v>34.141184699154856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4325.6329500000002</v>
      </c>
      <c r="E26" s="231">
        <v>3111.3876100000002</v>
      </c>
      <c r="F26" s="231">
        <v>-28.070928671837493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2970.6989199999998</v>
      </c>
      <c r="E27" s="231">
        <v>6675.9984000000004</v>
      </c>
      <c r="F27" s="231">
        <v>124.7282063845097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326945.73301000014</v>
      </c>
      <c r="E29" s="235">
        <v>345140.23178000003</v>
      </c>
      <c r="F29" s="235">
        <v>5.5649904351078971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25138.759899999885</v>
      </c>
      <c r="E31" s="139">
        <v>-18667.181170000025</v>
      </c>
      <c r="F31" s="139">
        <v>-174.25657130366287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9408.4286099998862</v>
      </c>
      <c r="E33" s="19">
        <v>-12263.461400000029</v>
      </c>
      <c r="F33" s="19">
        <v>-230.34547965816131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15730.331289999998</v>
      </c>
      <c r="E34" s="19">
        <v>-6403.7197699999961</v>
      </c>
      <c r="F34" s="19">
        <v>-140.70937637575972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47725.94748999989</v>
      </c>
      <c r="E35" s="19">
        <v>3694.487349999974</v>
      </c>
      <c r="F35" s="19">
        <v>-92.258954417250521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608.14400000000001</v>
      </c>
      <c r="E36" s="106">
        <v>0</v>
      </c>
      <c r="F36" s="106">
        <v>-100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B2" sqref="B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(março)","TABLE III - Regional Gov. budget execution (march)")</f>
        <v>QUADRO III - Execução orçamental do Gov. Regional (março)</v>
      </c>
      <c r="D2" s="224"/>
      <c r="E2" s="225"/>
      <c r="F2" s="49" t="str">
        <f>+IF(Índice!$D$2=1,"€ Milhares","€ Thousands")</f>
        <v>€ Milhares</v>
      </c>
      <c r="G2"/>
      <c r="H2" s="290" t="str">
        <f>+IF(Índice!$D$2=1,"índice","Index")</f>
        <v>índice</v>
      </c>
      <c r="K2" s="18"/>
      <c r="Z2" s="7"/>
      <c r="AC2" s="18"/>
    </row>
    <row r="3" spans="2:29" ht="35.1" customHeight="1">
      <c r="C3" s="291"/>
      <c r="D3" s="292">
        <v>2025</v>
      </c>
      <c r="E3" s="292">
        <v>2026</v>
      </c>
      <c r="F3" s="292" t="s">
        <v>99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99288.550670000011</v>
      </c>
      <c r="E5" s="225">
        <v>97788.735239999965</v>
      </c>
      <c r="F5" s="225">
        <v>-1.5105623154727077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94027.947759999995</v>
      </c>
      <c r="E6" s="231">
        <v>93836.477679999967</v>
      </c>
      <c r="F6" s="231">
        <v>-0.2036310315830181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28481.152429999998</v>
      </c>
      <c r="E7" s="231">
        <v>25946.890330000006</v>
      </c>
      <c r="F7" s="231">
        <v>-8.8980321503092767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65546.795329999994</v>
      </c>
      <c r="E8" s="231">
        <v>67889.587349999958</v>
      </c>
      <c r="F8" s="231">
        <v>3.5742281650918528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5260.6029100000078</v>
      </c>
      <c r="E9" s="231">
        <v>3952.257559999995</v>
      </c>
      <c r="F9" s="231">
        <v>-24.870635027649534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2310.8202100000003</v>
      </c>
      <c r="E10" s="232">
        <v>2936.2948699999997</v>
      </c>
      <c r="F10" s="232">
        <v>27.067214372337478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101599.37088000002</v>
      </c>
      <c r="E12" s="232">
        <v>100725.03010999996</v>
      </c>
      <c r="F12" s="232">
        <v>-0.8605769528167162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116987.86738999998</v>
      </c>
      <c r="E14" s="232">
        <v>128703.08717000009</v>
      </c>
      <c r="F14" s="232">
        <v>10.014046790805509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42728.131620000167</v>
      </c>
      <c r="E15" s="231">
        <v>46669.960810000091</v>
      </c>
      <c r="F15" s="231">
        <v>9.2253722326459897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7470.4034499999661</v>
      </c>
      <c r="E16" s="231">
        <v>9611.3950699999932</v>
      </c>
      <c r="F16" s="231">
        <v>28.659651842499034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3722.6906900000013</v>
      </c>
      <c r="E17" s="231">
        <v>3516.236969999999</v>
      </c>
      <c r="F17" s="231">
        <v>-5.545819870412128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61858.296719999853</v>
      </c>
      <c r="E18" s="231">
        <v>68678.683739999993</v>
      </c>
      <c r="F18" s="231">
        <v>11.025824152372742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1082.3677000000002</v>
      </c>
      <c r="E19" s="231">
        <v>15.005800000000047</v>
      </c>
      <c r="F19" s="231">
        <v>-98.613613469803283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125.97721</v>
      </c>
      <c r="E20" s="231">
        <v>211.80478000000014</v>
      </c>
      <c r="F20" s="231">
        <v>68.129441825231837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11079.494120000001</v>
      </c>
      <c r="E21" s="232">
        <v>8648.7610099999911</v>
      </c>
      <c r="F21" s="232">
        <v>-21.939026129471063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7190.2125500000011</v>
      </c>
      <c r="E22" s="231">
        <v>4312.7389599999942</v>
      </c>
      <c r="F22" s="231">
        <v>-40.019311946487676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3889.2815699999996</v>
      </c>
      <c r="E23" s="231">
        <v>4336.0220499999969</v>
      </c>
      <c r="F23" s="231">
        <v>11.486452496675303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299">
        <v>128067.36150999999</v>
      </c>
      <c r="E25" s="299">
        <v>137351.84818000009</v>
      </c>
      <c r="F25" s="299">
        <v>7.2496899760639888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Saldo global</v>
      </c>
      <c r="D27" s="286">
        <v>-26467.990629999971</v>
      </c>
      <c r="E27" s="286">
        <v>-36626.818070000125</v>
      </c>
      <c r="F27" s="286">
        <v>-38.381559000877452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-17699.316719999973</v>
      </c>
      <c r="E29" s="19">
        <v>-30914.351930000121</v>
      </c>
      <c r="F29" s="19">
        <v>-74.66409816299489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-8768.6739100000013</v>
      </c>
      <c r="E30" s="19">
        <v>-5712.4661399999914</v>
      </c>
      <c r="F30" s="19">
        <v>34.853705376301413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-22745.299939999968</v>
      </c>
      <c r="E31" s="19">
        <v>-33110.581100000127</v>
      </c>
      <c r="F31" s="19">
        <v>-45.571090235533603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(janeiro-março)","TABLE IV - Regional Gov. tax revenue budget execution (january-march)")</f>
        <v>QUADRO IV - Execução orçamental da receita fiscal do Gov. Reg. (janeiro-março)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2025</v>
      </c>
      <c r="E3" s="156">
        <v>2026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240721.08604000002</v>
      </c>
      <c r="E5" s="33">
        <v>254453.83577000001</v>
      </c>
      <c r="F5" s="270">
        <v>0.18900410395891129</v>
      </c>
      <c r="G5" s="270">
        <v>5.7048387226526831E-2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58341.29636</v>
      </c>
      <c r="E7" s="70">
        <v>60534.629080000006</v>
      </c>
      <c r="F7" s="271">
        <v>0.12449098526224386</v>
      </c>
      <c r="G7" s="271">
        <v>3.7594857448244756E-2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52666.920389999999</v>
      </c>
      <c r="E8" s="70">
        <v>52265.89834</v>
      </c>
      <c r="F8" s="271">
        <v>0.19525805896741341</v>
      </c>
      <c r="G8" s="271">
        <v>-7.6143060393586426E-3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5674.3759700000001</v>
      </c>
      <c r="E9" s="70">
        <v>8268.7307400000009</v>
      </c>
      <c r="F9" s="271">
        <v>3.7829117243329324E-2</v>
      </c>
      <c r="G9" s="271">
        <v>0.45720530040944762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182379.78968000002</v>
      </c>
      <c r="E11" s="70">
        <v>193919.20668999999</v>
      </c>
      <c r="F11" s="271">
        <v>0.22547952403426505</v>
      </c>
      <c r="G11" s="271">
        <v>6.3271358247790621E-2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7162.0215900000003</v>
      </c>
      <c r="E12" s="70">
        <v>10446.91438</v>
      </c>
      <c r="F12" s="271">
        <v>0.16715063008</v>
      </c>
      <c r="G12" s="271">
        <v>0.45865441045116984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150227.23803000001</v>
      </c>
      <c r="E13" s="70">
        <v>160381.36464999997</v>
      </c>
      <c r="F13" s="271">
        <v>0.24702749293410034</v>
      </c>
      <c r="G13" s="271">
        <v>6.7591781311803212E-2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1322.4247800000001</v>
      </c>
      <c r="E14" s="70">
        <v>801.89543999999989</v>
      </c>
      <c r="F14" s="271">
        <v>0.10870210654737697</v>
      </c>
      <c r="G14" s="271">
        <v>-0.39361735190715352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7845.9528499999997</v>
      </c>
      <c r="E15" s="70">
        <v>5787.1792999999998</v>
      </c>
      <c r="F15" s="271">
        <v>0.11103394146979249</v>
      </c>
      <c r="G15" s="271">
        <v>-0.2623994292802817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2150.88429</v>
      </c>
      <c r="E16" s="70">
        <v>1697.7667299999998</v>
      </c>
      <c r="F16" s="271">
        <v>0.14239588156000102</v>
      </c>
      <c r="G16" s="271">
        <v>-0.2106657071729322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13671.26814</v>
      </c>
      <c r="E17" s="70">
        <v>14804.08619</v>
      </c>
      <c r="F17" s="271">
        <v>0.19259965490984718</v>
      </c>
      <c r="G17" s="271">
        <v>8.2861226800573951E-2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7800.8374799999992</v>
      </c>
      <c r="E18" s="70">
        <v>7365.4061499999998</v>
      </c>
      <c r="F18" s="271">
        <v>0.16767721582384959</v>
      </c>
      <c r="G18" s="271">
        <v>-5.5818536293874899E-2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1499.3128599999998</v>
      </c>
      <c r="E19" s="70">
        <v>1679.8377800000001</v>
      </c>
      <c r="F19" s="271">
        <v>0.16639965330057852</v>
      </c>
      <c r="G19" s="271">
        <v>0.12040510344185296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111363.40686999998</v>
      </c>
      <c r="E21" s="33">
        <v>72019.214840000001</v>
      </c>
      <c r="F21" s="270">
        <v>0.11201182254283314</v>
      </c>
      <c r="G21" s="270">
        <v>-0.35329551363248435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Receita efetiva</v>
      </c>
      <c r="D23" s="139">
        <v>352084.49291000003</v>
      </c>
      <c r="E23" s="139">
        <v>326473.05061000003</v>
      </c>
      <c r="F23" s="274">
        <v>0.16411881228443514</v>
      </c>
      <c r="G23" s="274">
        <v>-7.2742318437031495E-2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B2" sqref="B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(janeiro-março)","TABLE V - Regional Gov. non-tax revenue budget execution (january-march)")</f>
        <v>QUADRO V - Execução orçamental da receita não fiscal do Gov. Reg. (janeiro-março)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2025</v>
      </c>
      <c r="E3" s="156">
        <v>2026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240721.08604000002</v>
      </c>
      <c r="E5" s="41">
        <v>254453.83577000001</v>
      </c>
      <c r="F5" s="275">
        <v>0.18900410395891129</v>
      </c>
      <c r="G5" s="42">
        <v>5.7048387226526831E-2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111363.40686999998</v>
      </c>
      <c r="E7" s="41">
        <v>72019.214840000001</v>
      </c>
      <c r="F7" s="275">
        <v>0.11201182254283314</v>
      </c>
      <c r="G7" s="42">
        <v>-0.35329551363248435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75910.490199999986</v>
      </c>
      <c r="E8" s="41">
        <v>62973.430840000001</v>
      </c>
      <c r="F8" s="275">
        <v>0.15290818779755361</v>
      </c>
      <c r="G8" s="42">
        <v>-0.17042518531911666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7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9190.5901199999989</v>
      </c>
      <c r="E10" s="71">
        <v>4798.4924999999994</v>
      </c>
      <c r="F10" s="277">
        <v>9.9599552508069455E-2</v>
      </c>
      <c r="G10" s="43">
        <v>-0.47789070806695921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312.80684000000002</v>
      </c>
      <c r="E11" s="71">
        <v>311.08877000000001</v>
      </c>
      <c r="F11" s="277">
        <v>5.1018850924128903E-2</v>
      </c>
      <c r="G11" s="43">
        <v>-5.4924310478633442E-3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62821.141929999998</v>
      </c>
      <c r="E12" s="71">
        <v>54311.77448</v>
      </c>
      <c r="F12" s="277">
        <v>0.16045667568158906</v>
      </c>
      <c r="G12" s="43">
        <v>-0.13545388047039597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3046.2222199999997</v>
      </c>
      <c r="E13" s="47">
        <v>3029.6877400000003</v>
      </c>
      <c r="F13" s="277">
        <v>0.18312603948338385</v>
      </c>
      <c r="G13" s="43">
        <v>-5.4278640249690868E-3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539.72909000000004</v>
      </c>
      <c r="E14" s="71">
        <v>522.38734999999997</v>
      </c>
      <c r="F14" s="277">
        <v>0.20598488513816973</v>
      </c>
      <c r="G14" s="43">
        <v>-3.213045270544912E-2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7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35452.916669999999</v>
      </c>
      <c r="E17" s="41">
        <v>9045.7839999999997</v>
      </c>
      <c r="F17" s="275">
        <v>3.9138457946096467E-2</v>
      </c>
      <c r="G17" s="42">
        <v>-0.74485078098935431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19.8948</v>
      </c>
      <c r="E18" s="71">
        <v>365.03</v>
      </c>
      <c r="F18" s="277">
        <v>3.9954794591769434E-2</v>
      </c>
      <c r="G18" s="43">
        <v>17.348010535416289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33933.603470000002</v>
      </c>
      <c r="E19" s="44">
        <v>6319.8085499999988</v>
      </c>
      <c r="F19" s="277">
        <v>2.9015038564404048E-2</v>
      </c>
      <c r="G19" s="43">
        <v>-0.81375958036442519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3.1110000000000002</v>
      </c>
      <c r="E20" s="71">
        <v>0.32080999999999998</v>
      </c>
      <c r="F20" s="277">
        <v>1.4339158807491171E-2</v>
      </c>
      <c r="G20" s="43">
        <v>-0.89687881710061079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1496.3073999999999</v>
      </c>
      <c r="E21" s="47">
        <v>2360.62464</v>
      </c>
      <c r="F21" s="277">
        <v>0.56845304893157911</v>
      </c>
      <c r="G21" s="43">
        <v>0.57763347290804035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Receita efetiva</v>
      </c>
      <c r="D23" s="286">
        <v>352084.49291000003</v>
      </c>
      <c r="E23" s="286">
        <v>326473.05061000003</v>
      </c>
      <c r="F23" s="287">
        <v>0.16411881228443514</v>
      </c>
      <c r="G23" s="287">
        <v>-7.2742318437031495E-2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48" sqref="C48:G5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(janeiro-março)","TABLE VI - Regional Gov. expenditure budget execution (january-march)")</f>
        <v>QUADRO VI - Execução orçamental das despesas do Governo Regional (janeiro-março)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6">
        <v>2025</v>
      </c>
      <c r="E3" s="328">
        <v>2026</v>
      </c>
      <c r="F3" s="153">
        <v>2025</v>
      </c>
      <c r="G3" s="153">
        <v>2026</v>
      </c>
      <c r="H3" s="329" t="str">
        <f>+IF(Índice!$D$2=1,"VH (%)","yoy change (%)")</f>
        <v>VH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Grau de Execução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307223.14763000014</v>
      </c>
      <c r="E5" s="253">
        <v>329690.72801000002</v>
      </c>
      <c r="F5" s="253">
        <v>19.112228372189087</v>
      </c>
      <c r="G5" s="253">
        <v>18.950366220752105</v>
      </c>
      <c r="H5" s="253">
        <v>7.3131144424893391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105557.30668000017</v>
      </c>
      <c r="E6" s="74">
        <v>113669.44981000008</v>
      </c>
      <c r="F6" s="74">
        <v>21.672128355506644</v>
      </c>
      <c r="G6" s="74">
        <v>21.275734200372785</v>
      </c>
      <c r="H6" s="254">
        <v>7.6850607363373626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83102.414619999981</v>
      </c>
      <c r="E7" s="75">
        <v>86403.021180000054</v>
      </c>
      <c r="F7" s="75">
        <v>21.803728491909304</v>
      </c>
      <c r="G7" s="75">
        <v>20.60662091237786</v>
      </c>
      <c r="H7" s="254">
        <v>3.9717336434719273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9248.7282300000024</v>
      </c>
      <c r="E8" s="75">
        <v>9580.0019200000061</v>
      </c>
      <c r="F8" s="75">
        <v>62.996640012358597</v>
      </c>
      <c r="G8" s="75">
        <v>59.472498413704933</v>
      </c>
      <c r="H8" s="254">
        <v>3.5818296501075104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13206.163829999992</v>
      </c>
      <c r="E9" s="75">
        <v>17686.426710000007</v>
      </c>
      <c r="F9" s="75">
        <v>14.473311357538657</v>
      </c>
      <c r="G9" s="75">
        <v>17.889946136336739</v>
      </c>
      <c r="H9" s="254">
        <v>33.925543690608734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44531.961289999956</v>
      </c>
      <c r="E10" s="75">
        <v>57287.75443999999</v>
      </c>
      <c r="F10" s="75">
        <v>19.994304451390555</v>
      </c>
      <c r="G10" s="75">
        <v>24.328561726067715</v>
      </c>
      <c r="H10" s="254">
        <v>28.64413059854262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22587.187590000005</v>
      </c>
      <c r="E11" s="75">
        <v>22361.668519999999</v>
      </c>
      <c r="F11" s="75">
        <v>16.491724504288229</v>
      </c>
      <c r="G11" s="75">
        <v>17.169249619268047</v>
      </c>
      <c r="H11" s="254">
        <v>-0.99843802643162838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133200.86314999999</v>
      </c>
      <c r="E12" s="74">
        <v>134781.60710999998</v>
      </c>
      <c r="F12" s="74">
        <v>17.933398824371</v>
      </c>
      <c r="G12" s="74">
        <v>16.401871252064076</v>
      </c>
      <c r="H12" s="254">
        <v>1.186737024534058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116607.05221999998</v>
      </c>
      <c r="E13" s="74">
        <v>120919.05516999999</v>
      </c>
      <c r="F13" s="74">
        <v>18.571512612337994</v>
      </c>
      <c r="G13" s="74">
        <v>17.597807630472794</v>
      </c>
      <c r="H13" s="254">
        <v>3.6978920810592544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116607.05221999998</v>
      </c>
      <c r="E15" s="75">
        <v>120919.05516999999</v>
      </c>
      <c r="F15" s="75">
        <v>18.589495695043972</v>
      </c>
      <c r="G15" s="75">
        <v>17.626759996065815</v>
      </c>
      <c r="H15" s="254">
        <v>3.6978920810592544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100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100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16593.810929999992</v>
      </c>
      <c r="E18" s="75">
        <v>13862.551939999996</v>
      </c>
      <c r="F18" s="72">
        <v>14.445511447967563</v>
      </c>
      <c r="G18" s="72">
        <v>10.297571200371841</v>
      </c>
      <c r="H18" s="77">
        <v>-16.459504097772662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1103.2491500000001</v>
      </c>
      <c r="E19" s="72">
        <v>1215.9403800000002</v>
      </c>
      <c r="F19" s="72">
        <v>9.710411241183829</v>
      </c>
      <c r="G19" s="72">
        <v>10.271420213422873</v>
      </c>
      <c r="H19" s="77">
        <v>10.214486002549842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242.57977000000002</v>
      </c>
      <c r="E20" s="72">
        <v>374.30775000000011</v>
      </c>
      <c r="F20" s="72">
        <v>3.6722756549753122</v>
      </c>
      <c r="G20" s="72">
        <v>6.0471341975564155</v>
      </c>
      <c r="H20" s="77">
        <v>54.302953622225004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284635.96004000015</v>
      </c>
      <c r="E22" s="78">
        <v>307329.05949000001</v>
      </c>
      <c r="F22" s="78">
        <v>19.356297821675163</v>
      </c>
      <c r="G22" s="78">
        <v>19.094494693707372</v>
      </c>
      <c r="H22" s="76">
        <v>7.9726747972430401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19722.58538</v>
      </c>
      <c r="E24" s="78">
        <v>15449.503769999996</v>
      </c>
      <c r="F24" s="78">
        <v>5.8386714318387352</v>
      </c>
      <c r="G24" s="78">
        <v>4.1250916550712482</v>
      </c>
      <c r="H24" s="76">
        <v>-21.665930341633562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12426.25351</v>
      </c>
      <c r="E25" s="72">
        <v>5662.1177599999946</v>
      </c>
      <c r="F25" s="72">
        <v>6.9364370072029571</v>
      </c>
      <c r="G25" s="72">
        <v>2.8454709627888457</v>
      </c>
      <c r="H25" s="77">
        <v>-54.434232687725078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7296.33187</v>
      </c>
      <c r="E26" s="59">
        <v>9787.3860100000002</v>
      </c>
      <c r="F26" s="59">
        <v>4.6577960477589286</v>
      </c>
      <c r="G26" s="59">
        <v>5.5849397400095393</v>
      </c>
      <c r="H26" s="77">
        <v>34.14118469915487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4325.6329500000002</v>
      </c>
      <c r="E27" s="59">
        <v>3111.3876100000002</v>
      </c>
      <c r="F27" s="59">
        <v>4.084860257311373</v>
      </c>
      <c r="G27" s="59">
        <v>3.1473165256817204</v>
      </c>
      <c r="H27" s="77">
        <v>-28.070928671837493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940.46577000000002</v>
      </c>
      <c r="E28" s="72">
        <v>796.89015000000006</v>
      </c>
      <c r="F28" s="72">
        <v>8.5821723404905743</v>
      </c>
      <c r="G28" s="72">
        <v>8.1200290445688026</v>
      </c>
      <c r="H28" s="77">
        <v>-15.266437607824892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3385.1671800000004</v>
      </c>
      <c r="E29" s="72">
        <v>2314.49746</v>
      </c>
      <c r="F29" s="72">
        <v>3.9607790847963265</v>
      </c>
      <c r="G29" s="72">
        <v>2.6912963322957051</v>
      </c>
      <c r="H29" s="77">
        <v>-31.62826717468058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326945.73301000014</v>
      </c>
      <c r="E33" s="142">
        <v>345140.23178000003</v>
      </c>
      <c r="F33" s="143">
        <v>16.807290804475333</v>
      </c>
      <c r="G33" s="143">
        <v>16.324211526864424</v>
      </c>
      <c r="H33" s="141">
        <v>5.5649904351078909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608.14400000000001</v>
      </c>
      <c r="E36" s="150">
        <v>0</v>
      </c>
      <c r="F36" s="150">
        <v>3.0833993343969555</v>
      </c>
      <c r="G36" s="150">
        <v>0</v>
      </c>
      <c r="H36" s="128">
        <v>-100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52859.12775</v>
      </c>
      <c r="E37" s="150">
        <v>47617.826910000003</v>
      </c>
      <c r="F37" s="150">
        <v>11.398081702245815</v>
      </c>
      <c r="G37" s="150">
        <v>20.297418539453613</v>
      </c>
      <c r="H37" s="128">
        <v>-9.9156022111999302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B2" sqref="B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(janeiro-março)","TABLE VII - Regional Gov. expenditure by functional classification (january-march)")</f>
        <v>QUADRO VII - Despesa do Governo Regional, por classificação funcional (janeiro-março)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8">
        <v>2025</v>
      </c>
      <c r="E3" s="331">
        <v>2026</v>
      </c>
      <c r="F3" s="332" t="str">
        <f>+IF(Índice!$D$2=1,"Peso na estrutura
 em 2026","Weight in 2026 structure")</f>
        <v>Peso na estrutura
 em 2026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46206.396189999992</v>
      </c>
      <c r="E5" s="34">
        <v>54433.499490000009</v>
      </c>
      <c r="F5" s="34">
        <v>15.771415348847858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3018.6628300000002</v>
      </c>
      <c r="E7" s="34">
        <v>2366.9649900000009</v>
      </c>
      <c r="F7" s="34">
        <v>0.68579805309650366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55466.603409999967</v>
      </c>
      <c r="E8" s="34">
        <v>65431.825009999986</v>
      </c>
      <c r="F8" s="34">
        <v>18.958040525309624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5269.9807800000008</v>
      </c>
      <c r="E9" s="34">
        <v>158.69497999999999</v>
      </c>
      <c r="F9" s="34">
        <v>4.597985554496458E-2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8945.0418699999991</v>
      </c>
      <c r="E10" s="34">
        <v>5515.7669299999998</v>
      </c>
      <c r="F10" s="34">
        <v>1.5981234356694383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96524.532119999989</v>
      </c>
      <c r="E11" s="34">
        <v>95267.337759999995</v>
      </c>
      <c r="F11" s="34">
        <v>27.602501530660579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6753.6738699999969</v>
      </c>
      <c r="E12" s="34">
        <v>6483.1709600000013</v>
      </c>
      <c r="F12" s="34">
        <v>1.8784164704775754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99501.670559999984</v>
      </c>
      <c r="E13" s="34">
        <v>105516.52212000013</v>
      </c>
      <c r="F13" s="34">
        <v>30.572072567668279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5259.1713800000007</v>
      </c>
      <c r="E14" s="34">
        <v>9966.4495400000014</v>
      </c>
      <c r="F14" s="34">
        <v>2.8876522127251838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326945.73300999997</v>
      </c>
      <c r="E17" s="145">
        <v>345140.23178000009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608.14400000000001</v>
      </c>
      <c r="E20" s="152">
        <v>0</v>
      </c>
      <c r="F20" s="152">
        <v>0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Passivos financeiros</v>
      </c>
      <c r="D21" s="282">
        <v>52859.12775</v>
      </c>
      <c r="E21" s="282">
        <v>47617.826910000003</v>
      </c>
      <c r="F21" s="282">
        <v>13.796660755664277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2026-04-27T14:21:25Z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