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Abril\"/>
    </mc:Choice>
  </mc:AlternateContent>
  <xr:revisionPtr revIDLastSave="0" documentId="13_ncr:1_{C65C05D6-7E8F-4EFE-A9BB-6E0F090CBA24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acumulado'!$C$1:$F$44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acumulado'!$C$1:$F$45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acumulado'!$C$1:$F$45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acumulado'!$C$1:$F$45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acumulado'!$C$1:$F$45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acumulado'!$C$1:$F$45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acumulado'!$C$1:$F$45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acumulado'!$C$1:$F$45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acumulado'!$C$1:$F$45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acumulado'!$C$1:$F$45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acumulado'!$C$1:$F$45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acumulado'!$C$1:$F$45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38" l="1"/>
  <c r="C20" i="38"/>
  <c r="G2" i="50"/>
  <c r="H2" i="10"/>
  <c r="D3" i="61"/>
  <c r="D42" i="38"/>
  <c r="C41" i="38"/>
  <c r="D33" i="38"/>
  <c r="C32" i="38"/>
  <c r="D24" i="38"/>
  <c r="C23" i="38"/>
  <c r="D3" i="38"/>
  <c r="C2" i="38"/>
  <c r="C2" i="8"/>
  <c r="C2" i="60"/>
  <c r="C2" i="9"/>
  <c r="C2" i="50"/>
  <c r="C2" i="10"/>
  <c r="C2" i="11"/>
  <c r="C2" i="12"/>
  <c r="C2" i="39"/>
  <c r="C2" i="13"/>
  <c r="C2" i="51"/>
  <c r="C2" i="61"/>
  <c r="C2" i="32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4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3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4" i="51" l="1"/>
  <c r="D44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<sst xmlns="http://schemas.openxmlformats.org/spreadsheetml/2006/main" count="127" uniqueCount="104">
  <si>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</si>
  <si>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</si>
  <si>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</si>
  <si>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</si>
  <si>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</si>
  <si>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</si>
  <si>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</si>
  <si>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</si>
  <si>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</si>
  <si>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</si>
  <si>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</si>
  <si>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</si>
  <si>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</si>
  <si>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</si>
  <si>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</si>
  <si>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</si>
  <si>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</si>
  <si>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</si>
  <si>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</si>
  <si>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</si>
  <si>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</si>
  <si>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</si>
  <si>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</si>
  <si>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</si>
  <si>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</si>
  <si>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</si>
  <si>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</si>
  <si>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</si>
  <si>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</si>
  <si>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</si>
  <si>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</si>
  <si>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</si>
  <si>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</si>
  <si>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</si>
  <si>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</si>
  <si>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</si>
  <si>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</si>
  <si>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</si>
  <si>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</si>
  <si>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</si>
  <si>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</si>
  <si>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</si>
  <si>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</si>
  <si>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</si>
  <si>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</si>
  <si>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</si>
  <si>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</si>
  <si>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</si>
  <si>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</si>
  <si>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</si>
  <si>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</si>
  <si>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</si>
  <si>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</si>
  <si>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</si>
  <si>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</si>
  <si>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</si>
  <si>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</si>
  <si>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</si>
  <si>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</si>
  <si>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</si>
  <si>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</si>
  <si>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</si>
  <si>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</si>
  <si>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</si>
  <si>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</si>
  <si>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</si>
  <si>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</si>
  <si>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</si>
  <si>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</si>
  <si>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</si>
  <si>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</si>
  <si>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</si>
  <si>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</si>
  <si>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</si>
  <si>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</si>
  <si>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</si>
  <si>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</si>
  <si>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</si>
  <si>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</si>
  <si>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</si>
  <si>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</si>
  <si>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</si>
  <si>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</si>
  <si>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</si>
  <si>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</si>
  <si>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</si>
  <si>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</si>
  <si>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</si>
  <si>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</si>
  <si>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</si>
  <si>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</si>
  <si>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</si>
  <si>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</si>
  <si>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</si>
  <si>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</si>
  <si>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</si>
  <si>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</si>
  <si>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da Cultura</t>
  </si>
  <si>
    <t>Direção Regional do Ambiente e Mar</t>
  </si>
  <si>
    <t>EHTM-Escola de Hotelaria e Turismo da Madeira</t>
  </si>
  <si>
    <t>Instituto de Desenvolvimento Empresarial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</si>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</sst>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0" fontId="26" fillId="60" borderId="0" xfId="60" applyFont="1" applyFill="1" applyAlignment="1">
      <alignment horizontal="left"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Y35" sqref="Y3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sqref="A1:XFD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Education, Science and Technology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TABLE VIII - Budget execution by organic and economic cross-classification (january-april)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+IF(Índice!$D$2=1,"Turismo, Ambiente e Cultura","Tourism, Enviroment and Culture")</f>
        <v>Tourism, Enviroment and Culture</v>
      </c>
      <c r="G3" s="320" t="str">
        <f>+IF(Índice!$D$2=1,"Educação, Ciência e Tecnologia","Education, Science and Technology")</f>
        <v>Education, Science and Technology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5000</v>
      </c>
      <c r="E4" s="194">
        <v>736.17534000000012</v>
      </c>
      <c r="F4" s="194">
        <v>14166.007139999998</v>
      </c>
      <c r="G4" s="194">
        <v>147591.20548999993</v>
      </c>
      <c r="H4" s="194">
        <v>4932.4759800000002</v>
      </c>
      <c r="I4" s="194">
        <v>171559.66212999998</v>
      </c>
      <c r="J4" s="194">
        <v>57881.731599999999</v>
      </c>
      <c r="K4" s="194">
        <v>10518.606180000004</v>
      </c>
      <c r="L4" s="194">
        <v>8657.4408000000003</v>
      </c>
      <c r="M4" s="194">
        <v>51583.287729999996</v>
      </c>
      <c r="N4" s="194">
        <v>472626.59239000001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556.30934000000002</v>
      </c>
      <c r="F5" s="196">
        <v>6000.5150699999986</v>
      </c>
      <c r="G5" s="196">
        <v>115529.51261999995</v>
      </c>
      <c r="H5" s="196">
        <v>1357.5673700000004</v>
      </c>
      <c r="I5" s="196">
        <v>1865.0645999999997</v>
      </c>
      <c r="J5" s="196">
        <v>10594.039570000004</v>
      </c>
      <c r="K5" s="196">
        <v>7403.8541700000042</v>
      </c>
      <c r="L5" s="196">
        <v>2568.7519299999999</v>
      </c>
      <c r="M5" s="196">
        <v>5008.8304999999991</v>
      </c>
      <c r="N5" s="196">
        <v>150884.44516999996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430.56844000000001</v>
      </c>
      <c r="F6" s="197">
        <v>4677.1986399999978</v>
      </c>
      <c r="G6" s="197">
        <v>88231.110829999918</v>
      </c>
      <c r="H6" s="197">
        <v>1094.2723200000003</v>
      </c>
      <c r="I6" s="197">
        <v>1471.5161899999998</v>
      </c>
      <c r="J6" s="197">
        <v>7743.6756400000031</v>
      </c>
      <c r="K6" s="197">
        <v>5612.9959100000042</v>
      </c>
      <c r="L6" s="197">
        <v>2029.1279500000001</v>
      </c>
      <c r="M6" s="197">
        <v>3824.264259999999</v>
      </c>
      <c r="N6" s="197">
        <v>115114.73017999991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24.44755</v>
      </c>
      <c r="F7" s="197">
        <v>418.00981000000002</v>
      </c>
      <c r="G7" s="197">
        <v>7010.0522399999991</v>
      </c>
      <c r="H7" s="197">
        <v>62.38082</v>
      </c>
      <c r="I7" s="197">
        <v>93.340100000000007</v>
      </c>
      <c r="J7" s="197">
        <v>1292.7049099999999</v>
      </c>
      <c r="K7" s="197">
        <v>657.8015200000001</v>
      </c>
      <c r="L7" s="197">
        <v>157.63536999999999</v>
      </c>
      <c r="M7" s="197">
        <v>396.50553999999994</v>
      </c>
      <c r="N7" s="197">
        <v>10112.877860000001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101.29334999999999</v>
      </c>
      <c r="F8" s="197">
        <v>905.30661999999995</v>
      </c>
      <c r="G8" s="197">
        <v>20288.349550000024</v>
      </c>
      <c r="H8" s="197">
        <v>200.91423</v>
      </c>
      <c r="I8" s="197">
        <v>300.20830999999998</v>
      </c>
      <c r="J8" s="197">
        <v>1557.6590200000003</v>
      </c>
      <c r="K8" s="197">
        <v>1133.0567400000002</v>
      </c>
      <c r="L8" s="197">
        <v>381.98860999999988</v>
      </c>
      <c r="M8" s="197">
        <v>788.06070000000022</v>
      </c>
      <c r="N8" s="197">
        <v>25656.837130000022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173.52510000000001</v>
      </c>
      <c r="F9" s="196">
        <v>4508.8144299999994</v>
      </c>
      <c r="G9" s="196">
        <v>6363.7344799999955</v>
      </c>
      <c r="H9" s="196">
        <v>203.02949000000001</v>
      </c>
      <c r="I9" s="196">
        <v>156.08843000000002</v>
      </c>
      <c r="J9" s="196">
        <v>21271.343219999988</v>
      </c>
      <c r="K9" s="196">
        <v>807.08381000000031</v>
      </c>
      <c r="L9" s="196">
        <v>138.55942000000005</v>
      </c>
      <c r="M9" s="196">
        <v>35402.374880000003</v>
      </c>
      <c r="N9" s="196">
        <v>69024.553259999986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22.579810000000002</v>
      </c>
      <c r="F10" s="197">
        <v>151.57248000000001</v>
      </c>
      <c r="G10" s="197">
        <v>4038.1050999999948</v>
      </c>
      <c r="H10" s="197">
        <v>4.15801</v>
      </c>
      <c r="I10" s="197">
        <v>8.9149700000000003</v>
      </c>
      <c r="J10" s="197">
        <v>166.16792000000001</v>
      </c>
      <c r="K10" s="197">
        <v>115.76276999999999</v>
      </c>
      <c r="L10" s="197">
        <v>8.8771599999999999</v>
      </c>
      <c r="M10" s="197">
        <v>142.66803000000002</v>
      </c>
      <c r="N10" s="197">
        <v>4658.8062499999951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150.94529</v>
      </c>
      <c r="F11" s="197">
        <v>4357.2419499999996</v>
      </c>
      <c r="G11" s="197">
        <v>2325.6293800000008</v>
      </c>
      <c r="H11" s="197">
        <v>198.87148000000002</v>
      </c>
      <c r="I11" s="197">
        <v>147.17346000000001</v>
      </c>
      <c r="J11" s="197">
        <v>21105.175299999988</v>
      </c>
      <c r="K11" s="197">
        <v>691.32104000000027</v>
      </c>
      <c r="L11" s="197">
        <v>129.68226000000004</v>
      </c>
      <c r="M11" s="197">
        <v>35259.706850000002</v>
      </c>
      <c r="N11" s="197">
        <v>64365.747009999992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0</v>
      </c>
      <c r="G12" s="198">
        <v>7.5726700000000005</v>
      </c>
      <c r="H12" s="198">
        <v>0</v>
      </c>
      <c r="I12" s="198">
        <v>0</v>
      </c>
      <c r="J12" s="198">
        <v>22839.407169999999</v>
      </c>
      <c r="K12" s="198">
        <v>0</v>
      </c>
      <c r="L12" s="198">
        <v>0</v>
      </c>
      <c r="M12" s="198">
        <v>0</v>
      </c>
      <c r="N12" s="198">
        <v>22846.97984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5000</v>
      </c>
      <c r="E13" s="196">
        <v>6.3408999999999995</v>
      </c>
      <c r="F13" s="196">
        <v>3648.45588</v>
      </c>
      <c r="G13" s="196">
        <v>25669.758919999997</v>
      </c>
      <c r="H13" s="196">
        <v>3371.4191199999996</v>
      </c>
      <c r="I13" s="196">
        <v>169535.84790999998</v>
      </c>
      <c r="J13" s="196">
        <v>2902.8397400000003</v>
      </c>
      <c r="K13" s="196">
        <v>1643.39067</v>
      </c>
      <c r="L13" s="196">
        <v>5950.1294500000004</v>
      </c>
      <c r="M13" s="196">
        <v>8528.1333499999982</v>
      </c>
      <c r="N13" s="196">
        <v>226256.31593999997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5000</v>
      </c>
      <c r="E14" s="200">
        <v>0</v>
      </c>
      <c r="F14" s="200">
        <v>2834.9214999999999</v>
      </c>
      <c r="G14" s="200">
        <v>8196.4081299999998</v>
      </c>
      <c r="H14" s="200">
        <v>3225.9878799999997</v>
      </c>
      <c r="I14" s="200">
        <v>169523.22099999999</v>
      </c>
      <c r="J14" s="200">
        <v>2845.3944100000003</v>
      </c>
      <c r="K14" s="200">
        <v>1041.6198199999999</v>
      </c>
      <c r="L14" s="200">
        <v>4052.8667800000003</v>
      </c>
      <c r="M14" s="200">
        <v>8512.6822199999988</v>
      </c>
      <c r="N14" s="200">
        <v>205233.10173999998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5000</v>
      </c>
      <c r="E16" s="198">
        <v>0</v>
      </c>
      <c r="F16" s="198">
        <v>2834.9214999999999</v>
      </c>
      <c r="G16" s="198">
        <v>8196.4081299999998</v>
      </c>
      <c r="H16" s="198">
        <v>3225.9878799999997</v>
      </c>
      <c r="I16" s="198">
        <v>169523.22099999999</v>
      </c>
      <c r="J16" s="198">
        <v>2845.3944100000003</v>
      </c>
      <c r="K16" s="198">
        <v>1041.6198199999999</v>
      </c>
      <c r="L16" s="198">
        <v>4052.8667800000003</v>
      </c>
      <c r="M16" s="198">
        <v>8512.6822199999988</v>
      </c>
      <c r="N16" s="198">
        <v>205233.10173999998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6.3408999999999995</v>
      </c>
      <c r="F19" s="200">
        <v>813.53437999999994</v>
      </c>
      <c r="G19" s="200">
        <v>17473.350789999997</v>
      </c>
      <c r="H19" s="200">
        <v>145.43124</v>
      </c>
      <c r="I19" s="200">
        <v>12.626910000000001</v>
      </c>
      <c r="J19" s="200">
        <v>57.445329999999998</v>
      </c>
      <c r="K19" s="200">
        <v>601.77085000000011</v>
      </c>
      <c r="L19" s="200">
        <v>1897.2626700000001</v>
      </c>
      <c r="M19" s="200">
        <v>15.451130000000001</v>
      </c>
      <c r="N19" s="200">
        <v>21023.214199999999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5900.2271300000011</v>
      </c>
      <c r="H20" s="198">
        <v>97.9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5998.1271300000008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706.26078999999993</v>
      </c>
      <c r="G22" s="198">
        <v>9569.4344299999975</v>
      </c>
      <c r="H22" s="198">
        <v>44</v>
      </c>
      <c r="I22" s="198">
        <v>0.94714999999999994</v>
      </c>
      <c r="J22" s="198">
        <v>0</v>
      </c>
      <c r="K22" s="198">
        <v>589.01996000000008</v>
      </c>
      <c r="L22" s="198">
        <v>927.75539000000003</v>
      </c>
      <c r="M22" s="198">
        <v>0.3</v>
      </c>
      <c r="N22" s="198">
        <v>11837.717719999997</v>
      </c>
    </row>
    <row r="23" spans="2:14" hidden="1">
      <c r="B23" s="195"/>
      <c r="C23" s="104">
        <v>0</v>
      </c>
      <c r="D23" s="198">
        <v>0</v>
      </c>
      <c r="E23" s="198">
        <v>1.3409</v>
      </c>
      <c r="F23" s="198">
        <v>77.728589999999997</v>
      </c>
      <c r="G23" s="198">
        <v>2003.68923</v>
      </c>
      <c r="H23" s="198">
        <v>3.5312399999999999</v>
      </c>
      <c r="I23" s="198">
        <v>11.67976</v>
      </c>
      <c r="J23" s="198">
        <v>37.35633</v>
      </c>
      <c r="K23" s="198">
        <v>12.75089</v>
      </c>
      <c r="L23" s="198">
        <v>969.50728000000004</v>
      </c>
      <c r="M23" s="198">
        <v>15.15113</v>
      </c>
      <c r="N23" s="198">
        <v>3132.7353499999999</v>
      </c>
    </row>
    <row r="24" spans="2:14" hidden="1">
      <c r="B24" s="195"/>
      <c r="C24" s="187">
        <v>0</v>
      </c>
      <c r="D24" s="198">
        <v>0</v>
      </c>
      <c r="E24" s="198">
        <v>5</v>
      </c>
      <c r="F24" s="198">
        <v>29.545000000000002</v>
      </c>
      <c r="G24" s="198">
        <v>0</v>
      </c>
      <c r="H24" s="198">
        <v>0</v>
      </c>
      <c r="I24" s="198">
        <v>0</v>
      </c>
      <c r="J24" s="198">
        <v>20.088999999999999</v>
      </c>
      <c r="K24" s="198">
        <v>0</v>
      </c>
      <c r="L24" s="198">
        <v>0</v>
      </c>
      <c r="M24" s="198">
        <v>0</v>
      </c>
      <c r="N24" s="198">
        <v>54.634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520.83294999999998</v>
      </c>
      <c r="L25" s="198">
        <v>0</v>
      </c>
      <c r="M25" s="198">
        <v>2638.2762900000002</v>
      </c>
      <c r="N25" s="198">
        <v>3159.1092400000002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8.2217599999999997</v>
      </c>
      <c r="G26" s="198">
        <v>20.626799999999996</v>
      </c>
      <c r="H26" s="198">
        <v>0.46</v>
      </c>
      <c r="I26" s="198">
        <v>2.6611899999999999</v>
      </c>
      <c r="J26" s="198">
        <v>274.1019</v>
      </c>
      <c r="K26" s="198">
        <v>143.44457999999997</v>
      </c>
      <c r="L26" s="198">
        <v>0</v>
      </c>
      <c r="M26" s="198">
        <v>5.6727100000000004</v>
      </c>
      <c r="N26" s="198">
        <v>455.18893999999995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50</v>
      </c>
      <c r="E27" s="32">
        <v>2.5778600000000003</v>
      </c>
      <c r="F27" s="32">
        <v>390.12546999999995</v>
      </c>
      <c r="G27" s="32">
        <v>864.1133500000002</v>
      </c>
      <c r="H27" s="32">
        <v>543.04819999999995</v>
      </c>
      <c r="I27" s="32">
        <v>970.80657999999994</v>
      </c>
      <c r="J27" s="32">
        <v>2017.3717200000001</v>
      </c>
      <c r="K27" s="32">
        <v>989.14151000000004</v>
      </c>
      <c r="L27" s="32">
        <v>8757.1240799999996</v>
      </c>
      <c r="M27" s="32">
        <v>10517.179099999999</v>
      </c>
      <c r="N27" s="32">
        <v>25101.487869999997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2.5778600000000003</v>
      </c>
      <c r="F28" s="198">
        <v>388.99140999999997</v>
      </c>
      <c r="G28" s="198">
        <v>792.03177000000017</v>
      </c>
      <c r="H28" s="198">
        <v>0</v>
      </c>
      <c r="I28" s="198">
        <v>7.7625200000000003</v>
      </c>
      <c r="J28" s="198">
        <v>1001.57411</v>
      </c>
      <c r="K28" s="198">
        <v>187.13143000000002</v>
      </c>
      <c r="L28" s="198">
        <v>375.42732000000007</v>
      </c>
      <c r="M28" s="198">
        <v>10242.05155</v>
      </c>
      <c r="N28" s="198">
        <v>12997.54797</v>
      </c>
    </row>
    <row r="29" spans="2:14" ht="15" customHeight="1">
      <c r="C29" s="104" t="str">
        <f>+IF(Índice!$D$2=1,"Transferências capital","Capital transfers")</f>
        <v>Capital transfers</v>
      </c>
      <c r="D29" s="196">
        <v>50</v>
      </c>
      <c r="E29" s="196">
        <v>0</v>
      </c>
      <c r="F29" s="196">
        <v>1.1340599999999998</v>
      </c>
      <c r="G29" s="196">
        <v>72.081580000000002</v>
      </c>
      <c r="H29" s="196">
        <v>543.04819999999995</v>
      </c>
      <c r="I29" s="196">
        <v>963.04405999999994</v>
      </c>
      <c r="J29" s="196">
        <v>1015.79761</v>
      </c>
      <c r="K29" s="196">
        <v>802.01008000000002</v>
      </c>
      <c r="L29" s="196">
        <v>8381.6967599999989</v>
      </c>
      <c r="M29" s="196">
        <v>275.12755000000004</v>
      </c>
      <c r="N29" s="196">
        <v>12103.939899999998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50</v>
      </c>
      <c r="E30" s="200">
        <v>0</v>
      </c>
      <c r="F30" s="200">
        <v>1.1340599999999998</v>
      </c>
      <c r="G30" s="200">
        <v>37.104109999999999</v>
      </c>
      <c r="H30" s="200">
        <v>543.04819999999995</v>
      </c>
      <c r="I30" s="200">
        <v>963.04405999999994</v>
      </c>
      <c r="J30" s="200">
        <v>1015.79761</v>
      </c>
      <c r="K30" s="200">
        <v>802.01008000000002</v>
      </c>
      <c r="L30" s="200">
        <v>8.7328099999999989</v>
      </c>
      <c r="M30" s="200">
        <v>275.12755000000004</v>
      </c>
      <c r="N30" s="200">
        <v>3695.9984800000002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800.53408000000002</v>
      </c>
      <c r="L31" s="198">
        <v>0</v>
      </c>
      <c r="M31" s="198">
        <v>0</v>
      </c>
      <c r="N31" s="198">
        <v>800.53408000000002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50</v>
      </c>
      <c r="E32" s="198">
        <v>0</v>
      </c>
      <c r="F32" s="198">
        <v>1.1340599999999998</v>
      </c>
      <c r="G32" s="198">
        <v>37.104109999999999</v>
      </c>
      <c r="H32" s="198">
        <v>543.04819999999995</v>
      </c>
      <c r="I32" s="198">
        <v>963.04405999999994</v>
      </c>
      <c r="J32" s="198">
        <v>1015.79761</v>
      </c>
      <c r="K32" s="198">
        <v>1.476</v>
      </c>
      <c r="L32" s="198">
        <v>8.7328099999999989</v>
      </c>
      <c r="M32" s="198">
        <v>275.12755000000004</v>
      </c>
      <c r="N32" s="198">
        <v>2895.4644000000003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34.977470000000004</v>
      </c>
      <c r="H35" s="200">
        <v>0</v>
      </c>
      <c r="I35" s="200">
        <v>0</v>
      </c>
      <c r="J35" s="200">
        <v>0</v>
      </c>
      <c r="K35" s="200">
        <v>0</v>
      </c>
      <c r="L35" s="200">
        <v>8372.9639499999994</v>
      </c>
      <c r="M35" s="200">
        <v>0</v>
      </c>
      <c r="N35" s="200">
        <v>8407.9414199999992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5050</v>
      </c>
      <c r="E38" s="204">
        <v>738.75320000000011</v>
      </c>
      <c r="F38" s="204">
        <v>14556.132609999997</v>
      </c>
      <c r="G38" s="204">
        <v>148455.31883999993</v>
      </c>
      <c r="H38" s="204">
        <v>5475.5241800000003</v>
      </c>
      <c r="I38" s="204">
        <v>172530.46870999999</v>
      </c>
      <c r="J38" s="204">
        <v>59899.103320000002</v>
      </c>
      <c r="K38" s="204">
        <v>11507.747690000004</v>
      </c>
      <c r="L38" s="204">
        <v>17414.564879999998</v>
      </c>
      <c r="M38" s="204">
        <v>62100.466829999998</v>
      </c>
      <c r="N38" s="204">
        <v>497728.08025999996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5000</v>
      </c>
      <c r="K40" s="208">
        <v>0</v>
      </c>
      <c r="L40" s="208">
        <v>0</v>
      </c>
      <c r="M40" s="208">
        <v>0</v>
      </c>
      <c r="N40" s="208">
        <v>5000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50951.160240000005</v>
      </c>
      <c r="K41" s="200">
        <v>0</v>
      </c>
      <c r="L41" s="200">
        <v>0</v>
      </c>
      <c r="M41" s="200">
        <v>0</v>
      </c>
      <c r="N41" s="200">
        <v>50951.160240000005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52869.083060000012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22" t="str">
        <f>+IF(Índice!$D$2=1,"Fonte: Secretaria Regional das Finanças","Source: Regional Finance Secretariat")</f>
        <v>Source: Regional Finance Secretariat</v>
      </c>
      <c r="D46" s="322" t="str">
        <f>+IF(Índice!$D$2="PT","Fonte: Vice-Presidência do Governo Regional","Source: Vice-Presidency of the Regional Government")</f>
        <v>Source: Vice-Presidency of the Regional Government</v>
      </c>
      <c r="E46" s="322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sqref="A1:XFD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TABLE IX - RPEs global balance (january-april)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21190.348850000068</v>
      </c>
      <c r="E5" s="82">
        <v>13897.716879999993</v>
      </c>
    </row>
    <row r="6" spans="2:7">
      <c r="B6" s="29"/>
      <c r="C6" s="103"/>
      <c r="D6" s="103"/>
      <c r="E6" s="103"/>
    </row>
    <row r="7" spans="2:7">
      <c r="B7" s="29"/>
      <c r="C7" s="322" t="str">
        <f>+IF(Índice!$D$2=1,"Fonte: Secretaria Regional das Finanças","Source: Regional Finance Secretariat")</f>
        <v>Source: Regional Finance Secretariat</v>
      </c>
      <c r="D7" s="322" t="str">
        <f>+IF(Índice!$D$2="PT","Fonte: Vice-Presidência do Governo Regional","Source: Vice-Presidency of the Regional Government")</f>
        <v>Source: Vice-Presidency of the Regional Government</v>
      </c>
      <c r="E7" s="322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sqref="A1:XFD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(janeiro-abril)","TABLE X - ASFs and RPEs budget execution (january-april)")</f>
        <v>TABLE X - ASFs and RPEs budget execution (january-april)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7612.8968399998266</v>
      </c>
      <c r="E4" s="98">
        <v>13897.716879999993</v>
      </c>
      <c r="F4" s="98">
        <v>21510.613719999819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243978.02694000013</v>
      </c>
      <c r="E7" s="74">
        <v>176364.06383999999</v>
      </c>
      <c r="F7" s="74">
        <v>420342.09078000009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8649.486509999826</v>
      </c>
      <c r="E8" s="74">
        <v>14010.117909999994</v>
      </c>
      <c r="F8" s="74">
        <v>22659.604419999818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7907.8098999998183</v>
      </c>
      <c r="E9" s="74">
        <v>15172.091129999986</v>
      </c>
      <c r="F9" s="74">
        <v>23079.901029999775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-294.91306000000077</v>
      </c>
      <c r="E10" s="74">
        <v>-1274.3742500000026</v>
      </c>
      <c r="F10" s="74">
        <v>-1569.2873100000015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22" t="str">
        <f>+IF(Índice!$D$2=1,"Fonte: Secretaria Regional das Finanças","Source: Regional Finance Secretariat")</f>
        <v>Source: Regional Finance Secretariat</v>
      </c>
      <c r="D12" s="322" t="str">
        <f>+IF(Índice!$D$2="PT","Fonte: Vice-Presidência do Governo Regional","Source: Vice-Presidency of the Regional Government")</f>
        <v>Source: Vice-Presidency of the Regional Government</v>
      </c>
      <c r="E12" s="322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5"/>
  <sheetViews>
    <sheetView showGridLines="0" topLeftCell="A25" zoomScale="120" zoomScaleNormal="120" zoomScalePageLayoutView="115" workbookViewId="0">
      <selection activeCell="C41" sqref="C4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(janeiro-abril)","TABLE XI - ASFs and RPEs budget execution (january-april)")</f>
        <v>TABLE XI - ASFs and RPEs budget execution (january-april)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246915.94940999994</v>
      </c>
      <c r="E4" s="108">
        <v>181140.77054999999</v>
      </c>
      <c r="F4" s="108">
        <v>428056.7199599999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4041.8122500000004</v>
      </c>
      <c r="E8" s="74">
        <v>4666.6421099999998</v>
      </c>
      <c r="F8" s="74">
        <v>8708.4543599999997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239992.52165999997</v>
      </c>
      <c r="E9" s="74">
        <v>161918.27142</v>
      </c>
      <c r="F9" s="74">
        <v>401910.79307999997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12117.454609999999</v>
      </c>
      <c r="E10" s="74">
        <v>1551.8385499999997</v>
      </c>
      <c r="F10" s="74">
        <v>13669.293159999999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227199.46175999998</v>
      </c>
      <c r="E11" s="74">
        <v>160361.07038000002</v>
      </c>
      <c r="F11" s="74">
        <v>387560.53214000002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2437.9370400000007</v>
      </c>
      <c r="E12" s="74">
        <v>7759.6141099999995</v>
      </c>
      <c r="F12" s="74">
        <v>10197.551149999999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443.67846000000009</v>
      </c>
      <c r="E13" s="74">
        <v>6796.2429099999999</v>
      </c>
      <c r="F13" s="74">
        <v>7239.92137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5711.5640399999993</v>
      </c>
      <c r="E14" s="83">
        <v>9233.4111999999986</v>
      </c>
      <c r="F14" s="83">
        <v>14944.975239999998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68.192599999999999</v>
      </c>
      <c r="F15" s="34">
        <v>68.192599999999999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5679.524809999999</v>
      </c>
      <c r="E16" s="34">
        <v>9153.6118499999993</v>
      </c>
      <c r="F16" s="74">
        <v>14833.136659999998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4293.143140000001</v>
      </c>
      <c r="E17" s="34">
        <v>7163.4277299999994</v>
      </c>
      <c r="F17" s="74">
        <v>11456.57087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1386.3816699999979</v>
      </c>
      <c r="E18" s="74">
        <v>1990.1841199999999</v>
      </c>
      <c r="F18" s="74">
        <v>3376.5657899999978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3.7193299999999998</v>
      </c>
      <c r="F19" s="74">
        <v>3.7193299999999998</v>
      </c>
    </row>
    <row r="20" spans="2:6" ht="11.25" customHeight="1">
      <c r="C20" s="110" t="str">
        <f>+IF(Índice!$D$2=1,"Receita efetiva","Effective revenue")</f>
        <v>Effective revenue</v>
      </c>
      <c r="D20" s="83">
        <v>252627.51344999994</v>
      </c>
      <c r="E20" s="83">
        <v>190374.18174999999</v>
      </c>
      <c r="F20" s="83">
        <v>443001.69519999996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239008.13951000012</v>
      </c>
      <c r="E22" s="83">
        <v>165968.67942</v>
      </c>
      <c r="F22" s="83">
        <v>404976.81893000012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20549.312289999987</v>
      </c>
      <c r="E23" s="74">
        <v>102372.36567999999</v>
      </c>
      <c r="F23" s="74">
        <v>122921.67796999998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39004.878580000011</v>
      </c>
      <c r="E24" s="74">
        <v>58126.024140000009</v>
      </c>
      <c r="F24" s="74">
        <v>97130.902720000013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1036.5896700000001</v>
      </c>
      <c r="E25" s="74">
        <v>112.40103000000002</v>
      </c>
      <c r="F25" s="74">
        <v>1148.9907000000001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168575.66043000011</v>
      </c>
      <c r="E26" s="74">
        <v>5002.4990099999995</v>
      </c>
      <c r="F26" s="74">
        <v>173578.1594400001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1111.5756200000001</v>
      </c>
      <c r="E27" s="74">
        <v>0</v>
      </c>
      <c r="F27" s="59">
        <v>1111.5756200000001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167464.08481000012</v>
      </c>
      <c r="E28" s="74">
        <v>5002.4990099999995</v>
      </c>
      <c r="F28" s="59">
        <v>172466.58382000012</v>
      </c>
    </row>
    <row r="29" spans="2:6" ht="11.25" customHeight="1">
      <c r="C29" s="104" t="str">
        <f>+IF(Índice!$D$2=1,"Subsídios","Subsidies")</f>
        <v>Subsidies</v>
      </c>
      <c r="D29" s="74">
        <v>9824.1052100000015</v>
      </c>
      <c r="E29" s="74">
        <v>0</v>
      </c>
      <c r="F29" s="74">
        <v>9824.1052100000015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17.593329999999998</v>
      </c>
      <c r="E30" s="74">
        <v>355.38956000000002</v>
      </c>
      <c r="F30" s="74">
        <v>372.98289</v>
      </c>
    </row>
    <row r="31" spans="2:6" ht="11.25" customHeight="1">
      <c r="C31" s="110" t="str">
        <f>+IF(Índice!$D$2=1,"Despesa de capital","Capital expenditure")</f>
        <v>Capital expenditure</v>
      </c>
      <c r="D31" s="83">
        <v>6006.4771000000001</v>
      </c>
      <c r="E31" s="83">
        <v>10507.785450000001</v>
      </c>
      <c r="F31" s="83">
        <v>16514.262549999999</v>
      </c>
    </row>
    <row r="32" spans="2:6" ht="11.25" customHeight="1">
      <c r="C32" s="104" t="str">
        <f>+IF(Índice!$D$2=1,"Investimento","Investment")</f>
        <v>Investment</v>
      </c>
      <c r="D32" s="74">
        <v>1077.0622900000003</v>
      </c>
      <c r="E32" s="74">
        <v>10092.902910000001</v>
      </c>
      <c r="F32" s="74">
        <v>11169.965200000001</v>
      </c>
    </row>
    <row r="33" spans="3:6" ht="11.25" customHeight="1">
      <c r="C33" s="104" t="str">
        <f>+IF(Índice!$D$2=1,"Transferências capital","Capital transfers")</f>
        <v>Capital transfers</v>
      </c>
      <c r="D33" s="74">
        <v>4929.4148100000002</v>
      </c>
      <c r="E33" s="74">
        <v>414.88254000000006</v>
      </c>
      <c r="F33" s="74">
        <v>5344.2973500000007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245014.61661000011</v>
      </c>
      <c r="E36" s="83">
        <v>176476.46487</v>
      </c>
      <c r="F36" s="83">
        <v>421491.08148000011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1393.3496599999999</v>
      </c>
      <c r="E38" s="35">
        <v>113.80409</v>
      </c>
      <c r="F38" s="35">
        <v>1507.1537499999999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269.57499999999999</v>
      </c>
      <c r="F39" s="35">
        <v>269.57499999999999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customHeight="1">
      <c r="C41" s="110"/>
      <c r="D41" s="83"/>
      <c r="E41" s="83"/>
      <c r="F41" s="83"/>
    </row>
    <row r="42" spans="3:6" ht="11.25" customHeight="1">
      <c r="C42" s="112"/>
      <c r="D42" s="113"/>
      <c r="E42" s="113"/>
      <c r="F42" s="113"/>
    </row>
    <row r="43" spans="3:6" ht="17.25" customHeight="1">
      <c r="C43" s="144" t="str">
        <f>+IF(Índice!$D$2=1,"Saldo global","Overall balance")</f>
        <v>Overall balance</v>
      </c>
      <c r="D43" s="114">
        <v>7612.8968399998266</v>
      </c>
      <c r="E43" s="114">
        <v>13897.716879999993</v>
      </c>
      <c r="F43" s="114">
        <v>21510.613719999819</v>
      </c>
    </row>
    <row r="44" spans="3:6" ht="15" customHeight="1">
      <c r="C44" s="322" t="str">
        <f>+IF(Índice!$D$2=1,"Fonte: Secretaria Regional das Finanças","Source: Regional Finance Secretariat")</f>
        <v>Source: Regional Finance Secretariat</v>
      </c>
      <c r="D44" s="322" t="str">
        <f>+IF(Índice!$D$2="PT","Fonte: Vice-Presidência do Governo Regional","Source: Vice-Presidency of the Regional Government")</f>
        <v>Source: Vice-Presidency of the Regional Government</v>
      </c>
      <c r="E44" s="322" t="str">
        <f>+IF(Índice!$D$2="PT","Fonte: Vice-Presidência do Governo Regional","Source: Vice-Presidency of the Regional Government")</f>
        <v>Source: Vice-Presidency of the Regional Government</v>
      </c>
      <c r="F44" s="59"/>
    </row>
    <row r="45" spans="3:6" ht="11.25" customHeight="1">
      <c r="C45" s="84"/>
      <c r="D45" s="74"/>
      <c r="E45" s="74"/>
      <c r="F45" s="74"/>
    </row>
  </sheetData>
  <mergeCells count="1">
    <mergeCell ref="C44:E44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G14" sqref="G1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(abril)","TABLE XII - ASFs and RPEs budget execution (april)")</f>
        <v>TABLE XII - ASFs and RPEs budget execution (april)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+IF(Índice!$D$2=1,"abril 2026","april 2026")</f>
        <v>april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89550.570650000009</v>
      </c>
      <c r="E5" s="316">
        <v>62640.480800000012</v>
      </c>
      <c r="F5" s="316">
        <v>152191.05145000003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89550.570650000009</v>
      </c>
      <c r="E9" s="74">
        <v>62640.480800000012</v>
      </c>
      <c r="F9" s="74">
        <v>152191.05145000003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87389.891670000012</v>
      </c>
      <c r="E10" s="74">
        <v>55891.365690000013</v>
      </c>
      <c r="F10" s="74">
        <v>143281.25736000002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1538.9591399999986</v>
      </c>
      <c r="E11" s="83">
        <v>3308.5184500000005</v>
      </c>
      <c r="F11" s="83">
        <v>4847.4775899999986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49.664600000000007</v>
      </c>
      <c r="F12" s="34">
        <v>49.664600000000007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1528.9424999999985</v>
      </c>
      <c r="E13" s="34">
        <v>3258.6304100000002</v>
      </c>
      <c r="F13" s="74">
        <v>4787.572909999999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91089.529790000001</v>
      </c>
      <c r="E15" s="83">
        <v>65948.999250000008</v>
      </c>
      <c r="F15" s="83">
        <v>157038.52903999999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86051.997930000085</v>
      </c>
      <c r="E17" s="83">
        <v>53798.222009999998</v>
      </c>
      <c r="F17" s="83">
        <v>139850.2199400001</v>
      </c>
    </row>
    <row r="18" spans="3:6" ht="11.25" customHeight="1">
      <c r="C18" s="104" t="str">
        <f>+IF(Índice!$D$2=1,"Consumo público","Public consumption")</f>
        <v>Public consumption</v>
      </c>
      <c r="D18" s="74">
        <v>22520.066669999993</v>
      </c>
      <c r="E18" s="74">
        <v>52470.387839999996</v>
      </c>
      <c r="F18" s="74">
        <v>74990.454509999981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5403.2043899999853</v>
      </c>
      <c r="E19" s="74">
        <v>25876.525939999981</v>
      </c>
      <c r="F19" s="74">
        <v>31279.730329999966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17116.862280000008</v>
      </c>
      <c r="E20" s="74">
        <v>26593.861900000018</v>
      </c>
      <c r="F20" s="74">
        <v>43710.724180000027</v>
      </c>
    </row>
    <row r="21" spans="3:6" ht="11.25" customHeight="1">
      <c r="C21" s="104" t="str">
        <f>+IF(Índice!$D$2=1,"Subsídios","Subsidies")</f>
        <v>Subsidies</v>
      </c>
      <c r="D21" s="74">
        <v>2005.9061800000006</v>
      </c>
      <c r="E21" s="74">
        <v>0</v>
      </c>
      <c r="F21" s="74">
        <v>2005.9061800000006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973.75841000000014</v>
      </c>
      <c r="E22" s="74">
        <v>21.877990000000018</v>
      </c>
      <c r="F22" s="59">
        <v>995.63640000000021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60552.266670000092</v>
      </c>
      <c r="E23" s="74">
        <v>1305.9561799999997</v>
      </c>
      <c r="F23" s="59">
        <v>61858.222850000093</v>
      </c>
    </row>
    <row r="24" spans="3:6" ht="11.25" customHeight="1">
      <c r="C24" s="110" t="str">
        <f>+IF(Índice!$D$2=1,"Despesa de capital","Capital expenditure")</f>
        <v>Capital expenditure</v>
      </c>
      <c r="D24" s="83">
        <v>2111.1709600000004</v>
      </c>
      <c r="E24" s="83">
        <v>5040.6681699999999</v>
      </c>
      <c r="F24" s="83">
        <v>7151.8391300000003</v>
      </c>
    </row>
    <row r="25" spans="3:6" ht="11.25" customHeight="1">
      <c r="C25" s="104" t="str">
        <f>+IF(Índice!$D$2=1,"Investimento","Investment")</f>
        <v>Investment</v>
      </c>
      <c r="D25" s="74">
        <v>799.05454000000032</v>
      </c>
      <c r="E25" s="74">
        <v>4873.9867400000003</v>
      </c>
      <c r="F25" s="74">
        <v>5673.0412800000004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1312.1164200000003</v>
      </c>
      <c r="E26" s="74">
        <v>166.68143000000003</v>
      </c>
      <c r="F26" s="74">
        <v>1478.7978500000004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88163.168890000088</v>
      </c>
      <c r="E29" s="83">
        <v>58838.890179999995</v>
      </c>
      <c r="F29" s="83">
        <v>147002.05907000008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2926.3608999999124</v>
      </c>
      <c r="E31" s="318">
        <v>7110.1090700000132</v>
      </c>
      <c r="F31" s="318">
        <v>10036.469969999926</v>
      </c>
    </row>
    <row r="32" spans="3:6" ht="15" customHeight="1">
      <c r="C32" s="322" t="str">
        <f>+IF(Índice!$D$2=1,"Fonte: Secretaria Regional das Finanças","Source: Regional Finance Secretariat")</f>
        <v>Source: Regional Finance Secretariat</v>
      </c>
      <c r="D32" s="322"/>
      <c r="E32" s="322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C1" sqref="C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2026 (valores acumulados)","Table XIII- Accounts payable of the Regional Administration, april (accumulated)")</f>
        <v>Table XIII- Accounts payable of the Regional Administration, april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7</v>
      </c>
      <c r="D3" s="337" t="str">
        <f>+IF(Índice!$D$2=1,"abril 2026","april 2026")</f>
        <v>april 2026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v>188785405.26000002</v>
      </c>
      <c r="E6" s="162">
        <v>179797557.39000002</v>
      </c>
      <c r="F6" s="162">
        <v>63566336.439999998</v>
      </c>
      <c r="G6" s="91">
        <v>0.13972633161253101</v>
      </c>
      <c r="H6" s="91">
        <v>0.12591782677999563</v>
      </c>
      <c r="I6" s="116">
        <v>2.489486562444609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11971251.01</v>
      </c>
      <c r="E7" s="165">
        <v>11442101.219999999</v>
      </c>
      <c r="F7" s="165">
        <v>157248.84</v>
      </c>
      <c r="G7" s="95">
        <v>1.3532733358520757</v>
      </c>
      <c r="H7" s="95">
        <v>1.4953122576192888</v>
      </c>
      <c r="I7" s="121">
        <v>0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105333113.72000001</v>
      </c>
      <c r="E8" s="165">
        <v>103421722.74000001</v>
      </c>
      <c r="F8" s="165">
        <v>30403061.860000007</v>
      </c>
      <c r="G8" s="95">
        <v>0.12238132192485995</v>
      </c>
      <c r="H8" s="95">
        <v>0.10583207822208984</v>
      </c>
      <c r="I8" s="121">
        <v>0.92229241508639581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4565624.5399999991</v>
      </c>
      <c r="E9" s="165">
        <v>3568231.4299999997</v>
      </c>
      <c r="F9" s="165">
        <v>2226842.62</v>
      </c>
      <c r="G9" s="95">
        <v>-0.25138179419204709</v>
      </c>
      <c r="H9" s="95">
        <v>0.33088862686687803</v>
      </c>
      <c r="I9" s="121">
        <v>0.1620496662983173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62473935.950000003</v>
      </c>
      <c r="E10" s="165">
        <v>56924342.769999996</v>
      </c>
      <c r="F10" s="165">
        <v>30778882.119999997</v>
      </c>
      <c r="G10" s="95">
        <v>3.1114796287108115E-2</v>
      </c>
      <c r="H10" s="95">
        <v>-3.3349448680782046E-2</v>
      </c>
      <c r="I10" s="121">
        <v>93.159581507561271</v>
      </c>
    </row>
    <row r="11" spans="2:11">
      <c r="B11" s="29"/>
      <c r="C11" s="120" t="str">
        <f>+IF(Índice!$D$2=1,"Subsídios","Subsidies")</f>
        <v>Subsidies</v>
      </c>
      <c r="D11" s="165">
        <v>4415014.0599999996</v>
      </c>
      <c r="E11" s="165">
        <v>4415014.0599999996</v>
      </c>
      <c r="F11" s="165">
        <v>0</v>
      </c>
      <c r="G11" s="95">
        <v>18885.952686516084</v>
      </c>
      <c r="H11" s="95">
        <v>18885.952686516084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26465.979999999996</v>
      </c>
      <c r="E12" s="165">
        <v>26145.17</v>
      </c>
      <c r="F12" s="165">
        <v>301</v>
      </c>
      <c r="G12" s="95">
        <v>0.44243709157896416</v>
      </c>
      <c r="H12" s="95">
        <v>1.4031701970228272</v>
      </c>
      <c r="I12" s="121">
        <v>4.9019607843137258</v>
      </c>
    </row>
    <row r="13" spans="2:11">
      <c r="B13" s="29"/>
      <c r="C13" s="115" t="str">
        <f>+IF(Índice!$D$2=1,"Despesa de capital","Capital expenditure")</f>
        <v>Capital expenditure</v>
      </c>
      <c r="D13" s="163">
        <v>31213042.969999999</v>
      </c>
      <c r="E13" s="163">
        <v>26182269.640000001</v>
      </c>
      <c r="F13" s="163">
        <v>207526.20999999996</v>
      </c>
      <c r="G13" s="92">
        <v>9.9103529393449019E-2</v>
      </c>
      <c r="H13" s="92">
        <v>0.24382374213424618</v>
      </c>
      <c r="I13" s="117">
        <v>0.43389038639536293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20610747.009999998</v>
      </c>
      <c r="E14" s="165">
        <v>16137974.699999996</v>
      </c>
      <c r="F14" s="165">
        <v>207526.20999999996</v>
      </c>
      <c r="G14" s="95">
        <v>0.14338979459519363</v>
      </c>
      <c r="H14" s="95">
        <v>0.4319198733507208</v>
      </c>
      <c r="I14" s="121">
        <v>0.43389038639536293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10602295.959999999</v>
      </c>
      <c r="E15" s="165">
        <v>10044294.939999999</v>
      </c>
      <c r="F15" s="165">
        <v>0</v>
      </c>
      <c r="G15" s="95">
        <v>2.2140994949779946E-2</v>
      </c>
      <c r="H15" s="95">
        <v>2.7060043107851373E-2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219998448.23000002</v>
      </c>
      <c r="E17" s="164">
        <v>205979827.03000003</v>
      </c>
      <c r="F17" s="164">
        <v>63773862.650000006</v>
      </c>
      <c r="G17" s="147">
        <v>0.1337809882863612</v>
      </c>
      <c r="H17" s="147">
        <v>0.13964973038181627</v>
      </c>
      <c r="I17" s="148">
        <v>2.4732836779450023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152068588.38999999</v>
      </c>
      <c r="E19" s="164">
        <v>138062451.13</v>
      </c>
      <c r="F19" s="164">
        <v>41485141.869999997</v>
      </c>
      <c r="G19" s="147">
        <v>0.22813308750019479</v>
      </c>
      <c r="H19" s="147">
        <v>0.24905665851910785</v>
      </c>
      <c r="I19" s="148">
        <v>8.0505309628491748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Reclassified Public Entities that have been included in the monthly reports from 01/01/2016")</f>
        <v>a) Comprises Reclassified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abril de 2026 (valores acumulados)","Table XIV - Accounts payable of the Regional Gov., april (accumulated)")</f>
        <v>Table XIV - Accounts payable of the Regional Gov., april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37" t="str">
        <f>+IF(Índice!$D$2=1,"abril 2026","april 2026")</f>
        <v>april 2026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Change from january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27898635.920000002</v>
      </c>
      <c r="E27" s="162">
        <v>20392001.980000004</v>
      </c>
      <c r="F27" s="162">
        <v>1256795.9399999997</v>
      </c>
      <c r="G27" s="91">
        <v>2.5168722455477326</v>
      </c>
      <c r="H27" s="91">
        <v>2.5441570968684419</v>
      </c>
      <c r="I27" s="116">
        <v>4.2103384684453626E-2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24454853.689999998</v>
      </c>
      <c r="E28" s="163">
        <v>19477876.109999999</v>
      </c>
      <c r="F28" s="163">
        <v>12202.55</v>
      </c>
      <c r="G28" s="92">
        <v>0.23370165818016697</v>
      </c>
      <c r="H28" s="172">
        <v>0.27914004768140099</v>
      </c>
      <c r="I28" s="117">
        <v>18.369126984126982</v>
      </c>
    </row>
    <row r="29" spans="2:9" ht="20.100000000000001" customHeight="1">
      <c r="B29" s="29"/>
      <c r="C29" s="146" t="s">
        <v>7</v>
      </c>
      <c r="D29" s="164">
        <v>52353489.609999999</v>
      </c>
      <c r="E29" s="164">
        <v>39869878.090000004</v>
      </c>
      <c r="F29" s="164">
        <v>1268998.4899999998</v>
      </c>
      <c r="G29" s="147">
        <v>0.88626301580331956</v>
      </c>
      <c r="H29" s="147">
        <v>0.90028340261306261</v>
      </c>
      <c r="I29" s="148">
        <v>5.167205779764461E-2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abril de 2026 (valores acumulados)","Table XV - Accounts payable of the ASFs, april (accumulated)")</f>
        <v>Table XV - Accounts payable of the ASFs, april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5" t="str">
        <f>+IF(Índice!$D$2=1,"Serviços e Fundos Autónomos","Autonomous Services and Funds")</f>
        <v>Autonomous Services and Funds</v>
      </c>
      <c r="D33" s="337" t="str">
        <f>+IF(Índice!$D$2=1,"abril 2026","april 2026")</f>
        <v>april 2026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Change from january initial stock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Accumulated</v>
      </c>
      <c r="E34" s="349"/>
      <c r="F34" s="350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7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v>98655434.040000021</v>
      </c>
      <c r="E36" s="162">
        <v>97186704.050000012</v>
      </c>
      <c r="F36" s="162">
        <v>40216143.379999995</v>
      </c>
      <c r="G36" s="91">
        <v>9.3717357352672837E-2</v>
      </c>
      <c r="H36" s="91">
        <v>9.2383045326800639E-2</v>
      </c>
      <c r="I36" s="116">
        <v>10.908568642086623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282679.03000000003</v>
      </c>
      <c r="E37" s="163">
        <v>228883.28</v>
      </c>
      <c r="F37" s="163">
        <v>0</v>
      </c>
      <c r="G37" s="92">
        <v>0.20826653250935445</v>
      </c>
      <c r="H37" s="92">
        <v>0.270455424100285</v>
      </c>
      <c r="I37" s="117">
        <v>0</v>
      </c>
    </row>
    <row r="38" spans="2:9" ht="20.100000000000001" customHeight="1">
      <c r="C38" s="146" t="s">
        <v>7</v>
      </c>
      <c r="D38" s="164">
        <v>98938113.070000023</v>
      </c>
      <c r="E38" s="164">
        <v>97415587.330000013</v>
      </c>
      <c r="F38" s="164">
        <v>40216143.379999995</v>
      </c>
      <c r="G38" s="147">
        <v>9.4013691668650035E-2</v>
      </c>
      <c r="H38" s="147">
        <v>9.2742911264589667E-2</v>
      </c>
      <c r="I38" s="148">
        <v>10.908568642086623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abril de 2026 (valores acumulados)","Table XVI - Accounts payable of the RPEs, april (accumulated)")</f>
        <v>Table XVI - Accounts payable of the RPEs, april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5" t="str">
        <f>+IF(Índice!$D$2=1,"Entidades Públicas Reclassseicadas","Reclassified Public Entities")</f>
        <v>Reclassified Public Entities</v>
      </c>
      <c r="D42" s="337" t="str">
        <f>+IF(Índice!$D$2=1,"abril 2026","april 2026")</f>
        <v>april 2026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Change from january initial stock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Accumulated</v>
      </c>
      <c r="E43" s="349"/>
      <c r="F43" s="350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7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v>62231335.300000004</v>
      </c>
      <c r="E45" s="162">
        <v>62218851.360000007</v>
      </c>
      <c r="F45" s="162">
        <v>22093397.120000005</v>
      </c>
      <c r="G45" s="91">
        <v>-7.8139687118645385E-2</v>
      </c>
      <c r="H45" s="91">
        <v>-4.232231355459759E-2</v>
      </c>
      <c r="I45" s="116">
        <v>0.62053045692784914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6475510.2499999991</v>
      </c>
      <c r="E46" s="163">
        <v>6475510.2499999991</v>
      </c>
      <c r="F46" s="163">
        <v>195323.65999999997</v>
      </c>
      <c r="G46" s="92">
        <v>-0.22377804322436956</v>
      </c>
      <c r="H46" s="92">
        <v>0.14766323065293219</v>
      </c>
      <c r="I46" s="117">
        <v>0.35547789624223469</v>
      </c>
    </row>
    <row r="47" spans="2:9" ht="20.100000000000001" customHeight="1">
      <c r="C47" s="146" t="s">
        <v>7</v>
      </c>
      <c r="D47" s="164">
        <v>68706845.549999997</v>
      </c>
      <c r="E47" s="164">
        <v>68694361.609999999</v>
      </c>
      <c r="F47" s="164">
        <v>22288720.780000005</v>
      </c>
      <c r="G47" s="147">
        <v>-9.4157982278093799E-2</v>
      </c>
      <c r="H47" s="147">
        <v>-2.7141016214109581E-2</v>
      </c>
      <c r="I47" s="148">
        <v>0.61775826750462737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87" zoomScale="85" zoomScaleNormal="85" workbookViewId="0">
      <selection activeCell="C119" sqref="C1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90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81</v>
      </c>
      <c r="D7" s="170"/>
      <c r="E7" s="169"/>
    </row>
    <row r="8" spans="2:5">
      <c r="B8" s="195"/>
      <c r="C8" s="170" t="s">
        <v>95</v>
      </c>
      <c r="D8" s="171"/>
      <c r="E8" s="169"/>
    </row>
    <row r="9" spans="2:5">
      <c r="B9" s="195"/>
      <c r="C9" s="170" t="s">
        <v>97</v>
      </c>
      <c r="D9" s="170"/>
      <c r="E9" s="169"/>
    </row>
    <row r="10" spans="2:5">
      <c r="B10" s="195"/>
      <c r="C10" s="170" t="s">
        <v>98</v>
      </c>
      <c r="D10" s="170"/>
      <c r="E10" s="169"/>
    </row>
    <row r="11" spans="2:5">
      <c r="B11" s="195"/>
      <c r="C11" s="170" t="s">
        <v>84</v>
      </c>
      <c r="D11" s="170"/>
      <c r="E11" s="169"/>
    </row>
    <row r="12" spans="2:5">
      <c r="B12" s="195"/>
      <c r="C12" s="170" t="s">
        <v>87</v>
      </c>
      <c r="D12" s="170"/>
      <c r="E12" s="169"/>
    </row>
    <row r="13" spans="2:5">
      <c r="B13" s="195"/>
      <c r="C13" s="171" t="s">
        <v>91</v>
      </c>
      <c r="D13" s="170"/>
      <c r="E13" s="169"/>
    </row>
    <row r="14" spans="2:5">
      <c r="B14" s="195"/>
      <c r="C14" s="170" t="s">
        <v>15</v>
      </c>
      <c r="D14" s="170"/>
      <c r="E14" s="169"/>
    </row>
    <row r="15" spans="2:5">
      <c r="B15" s="195"/>
      <c r="C15" s="170" t="s">
        <v>96</v>
      </c>
      <c r="D15" s="170"/>
      <c r="E15" s="169"/>
    </row>
    <row r="16" spans="2:5">
      <c r="B16" s="195"/>
      <c r="C16" s="170" t="s">
        <v>89</v>
      </c>
      <c r="D16" s="170"/>
      <c r="E16" s="169"/>
    </row>
    <row r="17" spans="2:5">
      <c r="B17" s="195"/>
      <c r="C17" s="170" t="s">
        <v>47</v>
      </c>
      <c r="D17" s="171"/>
      <c r="E17" s="169"/>
    </row>
    <row r="18" spans="2:5">
      <c r="B18" s="195"/>
      <c r="C18" s="170" t="s">
        <v>48</v>
      </c>
      <c r="D18" s="170"/>
      <c r="E18" s="169"/>
    </row>
    <row r="19" spans="2:5">
      <c r="B19" s="195"/>
      <c r="C19" s="170" t="s">
        <v>49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37</v>
      </c>
      <c r="D21" s="170"/>
      <c r="E21" s="169"/>
    </row>
    <row r="22" spans="2:5">
      <c r="B22" s="195"/>
      <c r="C22" s="170" t="s">
        <v>50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59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38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51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52</v>
      </c>
      <c r="D31" s="170"/>
      <c r="E31" s="169"/>
    </row>
    <row r="32" spans="2:5">
      <c r="B32" s="55"/>
      <c r="C32" s="170" t="s">
        <v>53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60</v>
      </c>
      <c r="D34" s="170"/>
      <c r="E34" s="169"/>
    </row>
    <row r="35" spans="2:5">
      <c r="B35" s="55"/>
      <c r="C35" s="170" t="s">
        <v>40</v>
      </c>
      <c r="D35" s="170"/>
      <c r="E35" s="169"/>
    </row>
    <row r="36" spans="2:5">
      <c r="B36" s="55"/>
      <c r="C36" s="170" t="s">
        <v>54</v>
      </c>
      <c r="D36" s="170"/>
      <c r="E36" s="169"/>
    </row>
    <row r="37" spans="2:5">
      <c r="B37" s="55"/>
      <c r="C37" s="170" t="s">
        <v>68</v>
      </c>
      <c r="D37" s="170"/>
      <c r="E37" s="169"/>
    </row>
    <row r="38" spans="2:5">
      <c r="B38" s="55"/>
      <c r="C38" s="170" t="s">
        <v>55</v>
      </c>
      <c r="D38" s="170"/>
      <c r="E38" s="169"/>
    </row>
    <row r="39" spans="2:5">
      <c r="B39" s="55"/>
      <c r="C39" s="170" t="s">
        <v>41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42</v>
      </c>
      <c r="D41" s="170"/>
      <c r="E41" s="169"/>
    </row>
    <row r="42" spans="2:5">
      <c r="B42" s="55"/>
      <c r="C42" s="171" t="s">
        <v>71</v>
      </c>
      <c r="D42" s="170"/>
      <c r="E42" s="169"/>
    </row>
    <row r="43" spans="2:5">
      <c r="B43" s="55"/>
      <c r="C43" s="170" t="s">
        <v>72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64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1" t="s">
        <v>22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88</v>
      </c>
      <c r="D49" s="170"/>
      <c r="E49" s="169"/>
    </row>
    <row r="50" spans="2:5">
      <c r="B50" s="55"/>
      <c r="C50" s="170" t="s">
        <v>23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43</v>
      </c>
      <c r="D52" s="170"/>
      <c r="E52" s="169"/>
    </row>
    <row r="53" spans="2:5">
      <c r="B53" s="55"/>
      <c r="C53" s="170" t="s">
        <v>44</v>
      </c>
      <c r="D53" s="170"/>
      <c r="E53" s="169"/>
    </row>
    <row r="54" spans="2:5">
      <c r="B54" s="55"/>
      <c r="C54" s="170" t="s">
        <v>35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45</v>
      </c>
    </row>
    <row r="57" spans="2:5">
      <c r="B57" s="55"/>
      <c r="C57" s="170" t="s">
        <v>21</v>
      </c>
    </row>
    <row r="58" spans="2:5">
      <c r="B58" s="55"/>
      <c r="C58" s="170" t="s">
        <v>36</v>
      </c>
    </row>
    <row r="59" spans="2:5">
      <c r="B59" s="55"/>
      <c r="C59" s="170" t="s">
        <v>74</v>
      </c>
    </row>
    <row r="60" spans="2:5">
      <c r="B60" s="55"/>
      <c r="C60" s="171" t="s">
        <v>75</v>
      </c>
    </row>
    <row r="61" spans="2:5">
      <c r="B61" s="55"/>
      <c r="C61" s="170" t="s">
        <v>72</v>
      </c>
    </row>
    <row r="62" spans="2:5">
      <c r="B62" s="55"/>
      <c r="C62" s="170" t="s">
        <v>66</v>
      </c>
    </row>
    <row r="63" spans="2:5">
      <c r="B63" s="55"/>
      <c r="C63" s="170" t="s">
        <v>76</v>
      </c>
    </row>
    <row r="64" spans="2:5">
      <c r="B64" s="55"/>
      <c r="C64" s="171" t="s">
        <v>65</v>
      </c>
    </row>
    <row r="65" spans="2:3">
      <c r="B65" s="55"/>
      <c r="C65" s="170" t="s">
        <v>72</v>
      </c>
    </row>
    <row r="66" spans="2:3">
      <c r="B66" s="55"/>
      <c r="C66" s="170" t="s">
        <v>57</v>
      </c>
    </row>
    <row r="67" spans="2:3">
      <c r="B67" s="55"/>
      <c r="C67" s="170" t="s">
        <v>24</v>
      </c>
    </row>
    <row r="68" spans="2:3">
      <c r="B68" s="55"/>
      <c r="C68" s="170" t="s">
        <v>85</v>
      </c>
    </row>
    <row r="69" spans="2:3">
      <c r="B69" s="55"/>
      <c r="C69" s="170" t="s">
        <v>77</v>
      </c>
    </row>
    <row r="70" spans="2:3">
      <c r="B70" s="55"/>
      <c r="C70" s="171" t="s">
        <v>70</v>
      </c>
    </row>
    <row r="71" spans="2:3">
      <c r="B71" s="55"/>
      <c r="C71" s="170" t="s">
        <v>72</v>
      </c>
    </row>
    <row r="72" spans="2:3">
      <c r="B72" s="55"/>
      <c r="C72" s="170" t="s">
        <v>25</v>
      </c>
    </row>
    <row r="73" spans="2:3" ht="13.5" customHeight="1">
      <c r="B73" s="55"/>
      <c r="C73" s="170" t="s">
        <v>26</v>
      </c>
    </row>
    <row r="74" spans="2:3" ht="13.5" customHeight="1">
      <c r="B74" s="55"/>
      <c r="C74" s="170" t="s">
        <v>27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289" t="s">
        <v>79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81</v>
      </c>
    </row>
    <row r="85" spans="2:3">
      <c r="B85" s="55"/>
      <c r="C85" s="170" t="s">
        <v>58</v>
      </c>
    </row>
    <row r="86" spans="2:3">
      <c r="B86" s="55"/>
      <c r="C86" s="171" t="s">
        <v>91</v>
      </c>
    </row>
    <row r="87" spans="2:3">
      <c r="B87" s="55"/>
      <c r="C87" s="170" t="s">
        <v>67</v>
      </c>
    </row>
    <row r="88" spans="2:3">
      <c r="B88" s="55"/>
      <c r="C88" s="170" t="s">
        <v>82</v>
      </c>
    </row>
    <row r="89" spans="2:3">
      <c r="B89" s="55"/>
      <c r="C89" s="170" t="s">
        <v>86</v>
      </c>
    </row>
    <row r="90" spans="2:3">
      <c r="B90" s="55"/>
      <c r="C90" s="170" t="s">
        <v>99</v>
      </c>
    </row>
    <row r="91" spans="2:3">
      <c r="B91" s="55"/>
      <c r="C91" s="171" t="s">
        <v>71</v>
      </c>
    </row>
    <row r="92" spans="2:3">
      <c r="B92" s="55"/>
      <c r="C92" s="170" t="s">
        <v>100</v>
      </c>
    </row>
    <row r="93" spans="2:3">
      <c r="B93" s="55"/>
      <c r="C93" s="170" t="s">
        <v>28</v>
      </c>
    </row>
    <row r="94" spans="2:3">
      <c r="B94" s="55"/>
      <c r="C94" s="170" t="s">
        <v>80</v>
      </c>
    </row>
    <row r="95" spans="2:3">
      <c r="B95" s="55"/>
      <c r="C95" s="171" t="s">
        <v>22</v>
      </c>
    </row>
    <row r="96" spans="2:3">
      <c r="B96" s="55"/>
      <c r="C96" s="170" t="s">
        <v>92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30</v>
      </c>
    </row>
    <row r="100" spans="2:3">
      <c r="B100" s="55"/>
      <c r="C100" s="170" t="s">
        <v>46</v>
      </c>
    </row>
    <row r="101" spans="2:3">
      <c r="B101" s="55"/>
      <c r="C101" s="171" t="s">
        <v>75</v>
      </c>
    </row>
    <row r="102" spans="2:3">
      <c r="B102" s="55"/>
      <c r="C102" s="170" t="s">
        <v>101</v>
      </c>
    </row>
    <row r="103" spans="2:3">
      <c r="B103" s="55"/>
      <c r="C103" s="171" t="s">
        <v>65</v>
      </c>
    </row>
    <row r="104" spans="2:3">
      <c r="B104" s="55"/>
      <c r="C104" s="170" t="s">
        <v>94</v>
      </c>
    </row>
    <row r="105" spans="2:3">
      <c r="B105" s="55"/>
      <c r="C105" s="171" t="s">
        <v>70</v>
      </c>
    </row>
    <row r="106" spans="2:3">
      <c r="B106" s="55"/>
      <c r="C106" s="170" t="s">
        <v>31</v>
      </c>
    </row>
    <row r="107" spans="2:3">
      <c r="B107" s="55"/>
      <c r="C107" s="170" t="s">
        <v>32</v>
      </c>
    </row>
    <row r="108" spans="2:3">
      <c r="C108" s="170" t="s">
        <v>33</v>
      </c>
    </row>
    <row r="109" spans="2:3">
      <c r="C109" s="170" t="s">
        <v>34</v>
      </c>
    </row>
    <row r="110" spans="2:3">
      <c r="C110" s="170" t="s">
        <v>93</v>
      </c>
    </row>
    <row r="111" spans="2:3">
      <c r="C111" s="170" t="s">
        <v>69</v>
      </c>
    </row>
    <row r="112" spans="2:3">
      <c r="C112" s="289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6" sqref="A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(january-april)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(january-april)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(april)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(january-april)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(january-april)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(january-april)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(january-april)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(january-april)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(january-april)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(january-april)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(january-april)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(april)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april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april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april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april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sqref="A1:XFD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TABLE I - Consolidated budget execution (january-april)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2026","Consolidated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474402.92601</v>
      </c>
      <c r="E5" s="57">
        <v>246915.94940999994</v>
      </c>
      <c r="F5" s="57">
        <v>181140.77054999999</v>
      </c>
      <c r="G5" s="57">
        <v>542640.85381999984</v>
      </c>
      <c r="H5" s="57">
        <v>4.1282123205068189</v>
      </c>
    </row>
    <row r="6" spans="1:10" ht="11.25" customHeight="1">
      <c r="C6" s="68" t="str">
        <f>+IF(Índice!$D$2=1,"Impostos diretos","Direct taxes")</f>
        <v>Direct taxes</v>
      </c>
      <c r="D6" s="56">
        <v>88130.869309999995</v>
      </c>
      <c r="E6" s="56">
        <v>0</v>
      </c>
      <c r="F6" s="56">
        <v>0</v>
      </c>
      <c r="G6" s="56">
        <v>88130.869309999995</v>
      </c>
      <c r="H6" s="56">
        <v>3.4224142975719296</v>
      </c>
    </row>
    <row r="7" spans="1:10">
      <c r="C7" s="68" t="str">
        <f>+IF(Índice!$D$2=1,"Impostos indiretos","Indirect taxes")</f>
        <v>Indirect taxes</v>
      </c>
      <c r="D7" s="56">
        <v>262128.93850999998</v>
      </c>
      <c r="E7" s="56">
        <v>0</v>
      </c>
      <c r="F7" s="56">
        <v>0</v>
      </c>
      <c r="G7" s="56">
        <v>262128.93850999998</v>
      </c>
      <c r="H7" s="56">
        <v>5.8095489976162984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124143.11818999999</v>
      </c>
      <c r="E9" s="56">
        <v>246915.94940999994</v>
      </c>
      <c r="F9" s="56">
        <v>181140.77054999999</v>
      </c>
      <c r="G9" s="56">
        <v>164647.17600999994</v>
      </c>
      <c r="H9" s="56">
        <v>-10.190913697386206</v>
      </c>
    </row>
    <row r="10" spans="1:10">
      <c r="C10" s="69" t="str">
        <f>+IF(Índice!$D$2=1,"Transferências correntes","Current transfers")</f>
        <v>Current transfers</v>
      </c>
      <c r="D10" s="56">
        <v>111938.20393999999</v>
      </c>
      <c r="E10" s="56">
        <v>239992.52165999997</v>
      </c>
      <c r="F10" s="56">
        <v>161918.27142</v>
      </c>
      <c r="G10" s="56">
        <v>126296.33488000004</v>
      </c>
      <c r="H10" s="56">
        <v>-12.001471572072031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107191.18399999999</v>
      </c>
      <c r="E11" s="56">
        <v>675.60528999999997</v>
      </c>
      <c r="F11" s="56">
        <v>5.3624900000000002</v>
      </c>
      <c r="G11" s="56">
        <v>107872.15178</v>
      </c>
      <c r="H11" s="56">
        <v>-14.16937643062457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227199.46175999995</v>
      </c>
      <c r="F12" s="56">
        <v>160353.20037999999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27733.869989999905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10812.646640000001</v>
      </c>
      <c r="E14" s="57">
        <v>5711.5640399999993</v>
      </c>
      <c r="F14" s="57">
        <v>9233.4111999999986</v>
      </c>
      <c r="G14" s="57">
        <v>22821.157479999998</v>
      </c>
      <c r="H14" s="57">
        <v>-75.135053532516366</v>
      </c>
    </row>
    <row r="15" spans="1:10">
      <c r="C15" s="68" t="str">
        <f>+IF(Índice!$D$2=1,"Venda de bens de investimento","Sale of investment goods")</f>
        <v>Sale of investment goods</v>
      </c>
      <c r="D15" s="56">
        <v>376.97</v>
      </c>
      <c r="E15" s="56">
        <v>0</v>
      </c>
      <c r="F15" s="56">
        <v>68.192599999999999</v>
      </c>
      <c r="G15" s="56">
        <v>445.1626</v>
      </c>
      <c r="H15" s="56">
        <v>-67.858964376769634</v>
      </c>
    </row>
    <row r="16" spans="1:10" ht="11.25" customHeight="1">
      <c r="C16" s="68" t="str">
        <f>+IF(Índice!$D$2=1,"Transferências capital","Capital transfers")</f>
        <v>Capital transfers</v>
      </c>
      <c r="D16" s="56">
        <v>7771.9296900000008</v>
      </c>
      <c r="E16" s="56">
        <v>5679.524809999999</v>
      </c>
      <c r="F16" s="56">
        <v>9153.6118499999993</v>
      </c>
      <c r="G16" s="56">
        <v>19228.50056</v>
      </c>
      <c r="H16" s="56">
        <v>-77.12936129845518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1082.6229099999998</v>
      </c>
      <c r="E17" s="56">
        <v>0</v>
      </c>
      <c r="F17" s="56">
        <v>0</v>
      </c>
      <c r="G17" s="56">
        <v>1082.6229099999998</v>
      </c>
      <c r="H17" s="56">
        <v>-97.708918339851621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1386.38167</v>
      </c>
      <c r="F18" s="56">
        <v>1990.1841200000001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440.10139000000026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485215.57264999993</v>
      </c>
      <c r="E20" s="57">
        <v>252627.51344999994</v>
      </c>
      <c r="F20" s="57">
        <v>190374.18174999999</v>
      </c>
      <c r="G20" s="57">
        <v>565462.0112999999</v>
      </c>
      <c r="H20" s="57">
        <v>-7.7411334812031996</v>
      </c>
    </row>
    <row r="21" spans="3:8" ht="20.25" customHeight="1">
      <c r="C21" s="220" t="str">
        <f>+IF(Índice!$D$2=1,"Despesa corrente","Current expenditure")</f>
        <v>Current expenditure</v>
      </c>
      <c r="D21" s="220">
        <v>472626.59238999977</v>
      </c>
      <c r="E21" s="220">
        <v>239008.13951000012</v>
      </c>
      <c r="F21" s="220">
        <v>165968.67942</v>
      </c>
      <c r="G21" s="220">
        <v>517784.61916999996</v>
      </c>
      <c r="H21" s="220">
        <v>18.938537193481931</v>
      </c>
    </row>
    <row r="22" spans="3:8" ht="10.5" customHeight="1">
      <c r="C22" s="68" t="str">
        <f>+IF(Índice!$D$2=1,"Consumo público","Public consumption")</f>
        <v>Public consumption</v>
      </c>
      <c r="D22" s="56">
        <v>220364.18736999977</v>
      </c>
      <c r="E22" s="56">
        <v>59571.784200000002</v>
      </c>
      <c r="F22" s="56">
        <v>160853.77937999999</v>
      </c>
      <c r="G22" s="56">
        <v>440789.75094999978</v>
      </c>
      <c r="H22" s="56">
        <v>22.867776597998034</v>
      </c>
    </row>
    <row r="23" spans="3:8">
      <c r="C23" s="69" t="str">
        <f>+IF(Índice!$D$2=1,"Despesas com o pessoal","Compensation of employees")</f>
        <v>Compensation of employees</v>
      </c>
      <c r="D23" s="56">
        <v>150884.44516999979</v>
      </c>
      <c r="E23" s="56">
        <v>20549.312289999987</v>
      </c>
      <c r="F23" s="56">
        <v>102372.36567999999</v>
      </c>
      <c r="G23" s="56">
        <v>273806.12313999975</v>
      </c>
      <c r="H23" s="56">
        <v>9.8886365705604931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69479.742199999979</v>
      </c>
      <c r="E24" s="56">
        <v>39022.471910000015</v>
      </c>
      <c r="F24" s="56">
        <v>58481.413700000012</v>
      </c>
      <c r="G24" s="56">
        <v>166983.62781000001</v>
      </c>
      <c r="H24" s="56">
        <v>52.379025475061255</v>
      </c>
    </row>
    <row r="25" spans="3:8">
      <c r="C25" s="68" t="str">
        <f>+IF(Índice!$D$2=1,"Subsídios","Subsidies")</f>
        <v>Subsidies</v>
      </c>
      <c r="D25" s="56">
        <v>3159.1092399999998</v>
      </c>
      <c r="E25" s="56">
        <v>9824.1052100000015</v>
      </c>
      <c r="F25" s="56">
        <v>0</v>
      </c>
      <c r="G25" s="56">
        <v>12972.350930000001</v>
      </c>
      <c r="H25" s="56">
        <v>0.14953638268571101</v>
      </c>
    </row>
    <row r="26" spans="3:8">
      <c r="C26" s="68" t="str">
        <f>+IF(Índice!$D$2=1,"Juros e outros encargos","Interests and other charges")</f>
        <v>Interests and other charges</v>
      </c>
      <c r="D26" s="56">
        <v>22846.979839999993</v>
      </c>
      <c r="E26" s="56">
        <v>1036.5896700000001</v>
      </c>
      <c r="F26" s="56">
        <v>112.40103000000002</v>
      </c>
      <c r="G26" s="56">
        <v>23995.970539999991</v>
      </c>
      <c r="H26" s="56">
        <v>1.9305824262136895</v>
      </c>
    </row>
    <row r="27" spans="3:8">
      <c r="C27" s="68" t="str">
        <f>+IF(Índice!$D$2=1,"Transferências correntes","Current transfers")</f>
        <v>Current transfers</v>
      </c>
      <c r="D27" s="56">
        <v>226256.31594000003</v>
      </c>
      <c r="E27" s="56">
        <v>168575.66043000011</v>
      </c>
      <c r="F27" s="56">
        <v>5002.4990099999995</v>
      </c>
      <c r="G27" s="56">
        <v>40026.546750000154</v>
      </c>
      <c r="H27" s="56">
        <v>-0.16377158034500683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1111.5756200000001</v>
      </c>
      <c r="F28" s="56">
        <v>0</v>
      </c>
      <c r="G28" s="56">
        <v>1111.5756200000001</v>
      </c>
      <c r="H28" s="56">
        <v>22.415435052754717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205233.10174000001</v>
      </c>
      <c r="E29" s="56">
        <v>154574.82689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25101.487870000004</v>
      </c>
      <c r="E31" s="57">
        <v>6006.4771000000001</v>
      </c>
      <c r="F31" s="57">
        <v>10507.785450000001</v>
      </c>
      <c r="G31" s="57">
        <v>38679.286020000007</v>
      </c>
      <c r="H31" s="57">
        <v>-9.7170111037941709</v>
      </c>
    </row>
    <row r="32" spans="3:8">
      <c r="C32" s="68" t="str">
        <f>+IF(Índice!$D$2=1,"Investimento","Investment")</f>
        <v>Investment</v>
      </c>
      <c r="D32" s="56">
        <v>12997.547970000003</v>
      </c>
      <c r="E32" s="56">
        <v>1077.0622900000003</v>
      </c>
      <c r="F32" s="56">
        <v>10092.902910000001</v>
      </c>
      <c r="G32" s="56">
        <v>24167.513170000006</v>
      </c>
      <c r="H32" s="56">
        <v>-35.722671613287915</v>
      </c>
    </row>
    <row r="33" spans="3:8">
      <c r="C33" s="68" t="str">
        <f>+IF(Índice!$D$2=1,"Transferências capital","Capital transfers")</f>
        <v>Capital transfers</v>
      </c>
      <c r="D33" s="56">
        <v>12103.939900000003</v>
      </c>
      <c r="E33" s="56">
        <v>4929.4148100000002</v>
      </c>
      <c r="F33" s="56">
        <v>414.88254000000006</v>
      </c>
      <c r="G33" s="56">
        <v>14511.772850000005</v>
      </c>
      <c r="H33" s="56">
        <v>176.75945463772132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800.5340799999999</v>
      </c>
      <c r="E34" s="56">
        <v>0</v>
      </c>
      <c r="F34" s="56">
        <v>0</v>
      </c>
      <c r="G34" s="56">
        <v>800.5340799999999</v>
      </c>
      <c r="H34" s="56">
        <v>-33.474571760475683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2895.4643999999998</v>
      </c>
      <c r="E35" s="56">
        <v>0</v>
      </c>
      <c r="F35" s="56">
        <v>41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497728.08025999978</v>
      </c>
      <c r="E38" s="86">
        <v>245014.61661000011</v>
      </c>
      <c r="F38" s="86">
        <v>176476.46487</v>
      </c>
      <c r="G38" s="86">
        <v>556463.90518999996</v>
      </c>
      <c r="H38" s="86">
        <v>16.371160413908736</v>
      </c>
    </row>
    <row r="39" spans="3:8" ht="17.25" customHeight="1">
      <c r="C39" s="138" t="str">
        <f>+IF(Índice!$D$2=1,"Saldo global","Overall balance")</f>
        <v>Overall balance</v>
      </c>
      <c r="D39" s="139">
        <v>-12512.507609999855</v>
      </c>
      <c r="E39" s="139">
        <v>7612.8968399998266</v>
      </c>
      <c r="F39" s="139">
        <v>13897.716879999993</v>
      </c>
      <c r="G39" s="139">
        <v>8998.1061099999351</v>
      </c>
      <c r="H39" s="139">
        <v>-93.32126948877179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1776.3336200002232</v>
      </c>
      <c r="E41" s="19">
        <v>7907.8098999998183</v>
      </c>
      <c r="F41" s="19">
        <v>15172.091129999986</v>
      </c>
      <c r="G41" s="19">
        <v>24856.234649999882</v>
      </c>
      <c r="H41" s="19">
        <v>-71.02652610203188</v>
      </c>
    </row>
    <row r="42" spans="3:8">
      <c r="C42" s="68" t="str">
        <f>+IF(Índice!$D$2=1,"Despesa corrente primária","Primary current expenditure")</f>
        <v>Primary current expenditure</v>
      </c>
      <c r="D42" s="19">
        <v>449779.61254999979</v>
      </c>
      <c r="E42" s="19">
        <v>237971.54984000014</v>
      </c>
      <c r="F42" s="19">
        <v>165856.27838999999</v>
      </c>
      <c r="G42" s="19">
        <v>493788.64862999995</v>
      </c>
      <c r="H42" s="19">
        <v>19.910843860724835</v>
      </c>
    </row>
    <row r="43" spans="3:8">
      <c r="C43" s="68" t="str">
        <f>+IF(Índice!$D$2=1,"Saldo corrente primário","Primary current balance")</f>
        <v>Primary current balance</v>
      </c>
      <c r="D43" s="19">
        <v>24623.313460000209</v>
      </c>
      <c r="E43" s="19">
        <v>8944.399569999805</v>
      </c>
      <c r="F43" s="19">
        <v>15284.492159999994</v>
      </c>
      <c r="G43" s="19">
        <v>48852.205189999891</v>
      </c>
      <c r="H43" s="19">
        <v>-55.317195534254452</v>
      </c>
    </row>
    <row r="44" spans="3:8">
      <c r="C44" s="68" t="str">
        <f>+IF(Índice!$D$2=1,"Saldo de capital","Capital balance")</f>
        <v>Capital balance</v>
      </c>
      <c r="D44" s="19">
        <v>-14288.841230000004</v>
      </c>
      <c r="E44" s="19">
        <v>-294.91306000000077</v>
      </c>
      <c r="F44" s="19">
        <v>-1274.3742500000026</v>
      </c>
      <c r="G44" s="19">
        <v>-15858.128540000009</v>
      </c>
      <c r="H44" s="19">
        <v>-132.40441921233796</v>
      </c>
    </row>
    <row r="45" spans="3:8">
      <c r="C45" s="68" t="str">
        <f t="array" ref="C45">+IF(Índice!$D$2=1,"Despesa primária","Primary expenditure")</f>
        <v>Primary expenditure</v>
      </c>
      <c r="D45" s="19">
        <v>474881.1004199998</v>
      </c>
      <c r="E45" s="19">
        <v>243978.02694000013</v>
      </c>
      <c r="F45" s="19">
        <v>176364.06383999999</v>
      </c>
      <c r="G45" s="19">
        <v>532467.93464999995</v>
      </c>
      <c r="H45" s="19">
        <v>17.118902673007685</v>
      </c>
    </row>
    <row r="46" spans="3:8">
      <c r="C46" s="221" t="str">
        <f>+IF(Índice!$D$2=1,"Saldo primário","Primary balance")</f>
        <v>Primary balance</v>
      </c>
      <c r="D46" s="132">
        <v>10334.47223000013</v>
      </c>
      <c r="E46" s="132">
        <v>8649.4865099998133</v>
      </c>
      <c r="F46" s="132">
        <v>14010.117910000001</v>
      </c>
      <c r="G46" s="132">
        <v>32994.076649999944</v>
      </c>
      <c r="H46" s="132">
        <v>-79.153201517566146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sqref="A1:XFD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TABLE II - Regional Gov. budget execution (january-april)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2025</v>
      </c>
      <c r="E3" s="156">
        <v>2026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477052.31556000002</v>
      </c>
      <c r="E5" s="225">
        <v>474402.92601</v>
      </c>
      <c r="F5" s="225">
        <v>-0.55536666809592461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332951.03844999999</v>
      </c>
      <c r="E6" s="231">
        <v>350259.80781999999</v>
      </c>
      <c r="F6" s="231">
        <v>5.1985929975104428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85214.476869999984</v>
      </c>
      <c r="E7" s="231">
        <v>88130.869309999995</v>
      </c>
      <c r="F7" s="231">
        <v>3.4224142975719296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247736.56158000001</v>
      </c>
      <c r="E8" s="231">
        <v>262128.93850999998</v>
      </c>
      <c r="F8" s="231">
        <v>5.8095489976162984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144101.27711</v>
      </c>
      <c r="E9" s="231">
        <v>124143.11818999999</v>
      </c>
      <c r="F9" s="231">
        <v>-13.850091630183748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69423.371719999996</v>
      </c>
      <c r="E10" s="232">
        <v>10812.646640000001</v>
      </c>
      <c r="F10" s="232">
        <v>-84.425062666777663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546475.68727999995</v>
      </c>
      <c r="E12" s="232">
        <v>485215.57264999999</v>
      </c>
      <c r="F12" s="232">
        <v>-11.210034783965028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410617.25625000003</v>
      </c>
      <c r="E14" s="232">
        <v>472626.59239000001</v>
      </c>
      <c r="F14" s="232">
        <v>15.101492983102061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142136.10166000001</v>
      </c>
      <c r="E15" s="231">
        <v>150884.44517000002</v>
      </c>
      <c r="F15" s="231">
        <v>6.154906042749575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52765.908269999949</v>
      </c>
      <c r="E16" s="231">
        <v>69024.553259999971</v>
      </c>
      <c r="F16" s="231">
        <v>30.812783335038073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23333.970750000011</v>
      </c>
      <c r="E17" s="231">
        <v>22846.979839999993</v>
      </c>
      <c r="F17" s="231">
        <v>-2.0870468863513847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190969.45808000004</v>
      </c>
      <c r="E18" s="231">
        <v>226256.31594</v>
      </c>
      <c r="F18" s="231">
        <v>18.477749381902608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169393.23530000003</v>
      </c>
      <c r="E19" s="231">
        <v>205233.10174000001</v>
      </c>
      <c r="F19" s="231">
        <v>21.1577908506952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21576.22278</v>
      </c>
      <c r="E20" s="231">
        <v>21023.214200000002</v>
      </c>
      <c r="F20" s="231">
        <v>-2.5630463016566907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1103.2491500000001</v>
      </c>
      <c r="E21" s="231">
        <v>3159.1092399999998</v>
      </c>
      <c r="F21" s="231">
        <v>186.3459482384373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308.56834000000026</v>
      </c>
      <c r="E22" s="231">
        <v>455.18894000000017</v>
      </c>
      <c r="F22" s="231">
        <v>47.516410789259766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29021.049410000003</v>
      </c>
      <c r="E23" s="232">
        <v>25101.487870000004</v>
      </c>
      <c r="F23" s="232">
        <v>-13.505926283456194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18598.131040000004</v>
      </c>
      <c r="E24" s="231">
        <v>12997.547970000003</v>
      </c>
      <c r="F24" s="231">
        <v>-30.113687541799361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10422.918369999999</v>
      </c>
      <c r="E25" s="231">
        <v>12103.939899999999</v>
      </c>
      <c r="F25" s="231">
        <v>16.128127174424002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7365.9535000000005</v>
      </c>
      <c r="E26" s="231">
        <v>3695.9984799999997</v>
      </c>
      <c r="F26" s="231">
        <v>-49.823217320065908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3056.9648699999998</v>
      </c>
      <c r="E27" s="231">
        <v>8407.9414199999992</v>
      </c>
      <c r="F27" s="231">
        <v>175.04213419371092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439638.30566000001</v>
      </c>
      <c r="E29" s="235">
        <v>497728.08026000002</v>
      </c>
      <c r="F29" s="235">
        <v>13.213083084922195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106837.38161999997</v>
      </c>
      <c r="E31" s="139">
        <v>-12512.507610000013</v>
      </c>
      <c r="F31" s="139">
        <v>-111.71173181172168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66435.059309999982</v>
      </c>
      <c r="E33" s="19">
        <v>1776.3336199999903</v>
      </c>
      <c r="F33" s="19">
        <v>-97.326210530329718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40402.322309999989</v>
      </c>
      <c r="E34" s="19">
        <v>-14288.841230000004</v>
      </c>
      <c r="F34" s="19">
        <v>-135.36638592297791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130171.35236999998</v>
      </c>
      <c r="E35" s="19">
        <v>10334.472229999979</v>
      </c>
      <c r="F35" s="19">
        <v>-92.060870505036164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608.14400000000001</v>
      </c>
      <c r="E36" s="106">
        <v>5000</v>
      </c>
      <c r="F36" s="106">
        <v>722.17369570364906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sqref="A1:XFD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TABLE III - Regional Gov. budget execution (april)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v>2025</v>
      </c>
      <c r="E3" s="292">
        <v>2026</v>
      </c>
      <c r="F3" s="292" t="s">
        <v>102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160420.73931999996</v>
      </c>
      <c r="E5" s="225">
        <v>156975.65939999997</v>
      </c>
      <c r="F5" s="225">
        <v>-2.1475277664242065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92229.952409999969</v>
      </c>
      <c r="E6" s="231">
        <v>95805.972049999968</v>
      </c>
      <c r="F6" s="231">
        <v>3.8772866585717436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26873.180509999991</v>
      </c>
      <c r="E7" s="231">
        <v>27596.240229999981</v>
      </c>
      <c r="F7" s="231">
        <v>2.6906369334695146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65356.771899999978</v>
      </c>
      <c r="E8" s="231">
        <v>68209.731819999986</v>
      </c>
      <c r="F8" s="231">
        <v>4.3652093533095737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68190.786909999995</v>
      </c>
      <c r="E9" s="231">
        <v>61169.687349999993</v>
      </c>
      <c r="F9" s="231">
        <v>-10.29625830431703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33970.455049999997</v>
      </c>
      <c r="E10" s="232">
        <v>1766.8626400000007</v>
      </c>
      <c r="F10" s="232">
        <v>-94.798825516468895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194391.19436999995</v>
      </c>
      <c r="E12" s="232">
        <v>158742.52203999998</v>
      </c>
      <c r="F12" s="232">
        <v>-18.338625083061665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103394.10862000029</v>
      </c>
      <c r="E14" s="232">
        <v>142935.86437999987</v>
      </c>
      <c r="F14" s="232">
        <v>38.243722285305061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36578.794979999853</v>
      </c>
      <c r="E15" s="231">
        <v>37214.995359999746</v>
      </c>
      <c r="F15" s="231">
        <v>1.7392600831923177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8233.946979999997</v>
      </c>
      <c r="E16" s="231">
        <v>11736.798819999985</v>
      </c>
      <c r="F16" s="231">
        <v>42.54158848129952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746.78316000000757</v>
      </c>
      <c r="E17" s="231">
        <v>485.31131999999286</v>
      </c>
      <c r="F17" s="231">
        <v>-35.013087333143943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57768.594930000436</v>
      </c>
      <c r="E18" s="231">
        <v>91474.708830000105</v>
      </c>
      <c r="F18" s="231">
        <v>58.346778108143639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0</v>
      </c>
      <c r="E19" s="231">
        <v>1943.1688599999995</v>
      </c>
      <c r="F19" s="231">
        <v>0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65.988570000000237</v>
      </c>
      <c r="E20" s="231">
        <v>80.881190000000061</v>
      </c>
      <c r="F20" s="231">
        <v>22.568484208704277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9298.4640300000028</v>
      </c>
      <c r="E21" s="232">
        <v>9651.9841000000124</v>
      </c>
      <c r="F21" s="232">
        <v>3.8019189928512276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6171.8775300000034</v>
      </c>
      <c r="E22" s="231">
        <v>7335.4302100000086</v>
      </c>
      <c r="F22" s="231">
        <v>18.852491390897775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3126.586499999999</v>
      </c>
      <c r="E23" s="231">
        <v>2316.5538900000042</v>
      </c>
      <c r="F23" s="231">
        <v>-25.90789060209897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v>112692.57265000029</v>
      </c>
      <c r="E25" s="299">
        <v>152587.84847999987</v>
      </c>
      <c r="F25" s="299">
        <v>35.401868012993212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v>81698.621719999661</v>
      </c>
      <c r="E27" s="286">
        <v>6154.673560000112</v>
      </c>
      <c r="F27" s="286">
        <v>-92.466612740305919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57026.630699999674</v>
      </c>
      <c r="E29" s="19">
        <v>14039.795020000107</v>
      </c>
      <c r="F29" s="19">
        <v>-75.380283127966408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24671.991019999994</v>
      </c>
      <c r="E30" s="19">
        <v>-7885.1214600000112</v>
      </c>
      <c r="F30" s="19">
        <v>-131.95981002752495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82445.404879999667</v>
      </c>
      <c r="E31" s="19">
        <v>6639.9848800001046</v>
      </c>
      <c r="F31" s="19">
        <v>-91.9462038064284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sqref="A1:XFD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TABLE IV - Regional Gov. tax revenue budget execution (january-april)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2025</v>
      </c>
      <c r="E3" s="156">
        <v>2026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332951.03844999999</v>
      </c>
      <c r="E5" s="33">
        <v>350259.80781999999</v>
      </c>
      <c r="F5" s="270">
        <v>0.26016719665282634</v>
      </c>
      <c r="G5" s="270">
        <v>5.1985929975104428E-2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85214.476869999984</v>
      </c>
      <c r="E7" s="70">
        <v>88130.869309999995</v>
      </c>
      <c r="F7" s="271">
        <v>0.18124334648058188</v>
      </c>
      <c r="G7" s="271">
        <v>3.4224142975719296E-2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77322.479759999987</v>
      </c>
      <c r="E8" s="70">
        <v>76108.55846</v>
      </c>
      <c r="F8" s="271">
        <v>0.28433089007740781</v>
      </c>
      <c r="G8" s="271">
        <v>-1.5699461576605622E-2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7891.9971100000002</v>
      </c>
      <c r="E9" s="70">
        <v>12022.31085</v>
      </c>
      <c r="F9" s="271">
        <v>5.5001598308230815E-2</v>
      </c>
      <c r="G9" s="271">
        <v>0.5233546949436223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247736.56158000001</v>
      </c>
      <c r="E11" s="70">
        <v>262128.93850999998</v>
      </c>
      <c r="F11" s="271">
        <v>0.30479037790891411</v>
      </c>
      <c r="G11" s="271">
        <v>5.8095489976162984E-2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10853.884310000001</v>
      </c>
      <c r="E12" s="70">
        <v>15445.716930000001</v>
      </c>
      <c r="F12" s="271">
        <v>0.24713147088000001</v>
      </c>
      <c r="G12" s="271">
        <v>0.42305892423870861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200279.85587</v>
      </c>
      <c r="E13" s="70">
        <v>213836.85819000003</v>
      </c>
      <c r="F13" s="271">
        <v>0.32936234886676069</v>
      </c>
      <c r="G13" s="271">
        <v>6.7690293969453252E-2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1677.34004</v>
      </c>
      <c r="E14" s="70">
        <v>1272.17057</v>
      </c>
      <c r="F14" s="271">
        <v>0.17245093805069811</v>
      </c>
      <c r="G14" s="271">
        <v>-0.24155475952270244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11819.501050000001</v>
      </c>
      <c r="E15" s="70">
        <v>8445.5603699999992</v>
      </c>
      <c r="F15" s="271">
        <v>0.1620381548921733</v>
      </c>
      <c r="G15" s="271">
        <v>-0.28545542368728005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2987.2877599999997</v>
      </c>
      <c r="E16" s="70">
        <v>2359.2155499999999</v>
      </c>
      <c r="F16" s="271">
        <v>0.19787322492313927</v>
      </c>
      <c r="G16" s="271">
        <v>-0.21024831233533392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20118.692550000003</v>
      </c>
      <c r="E17" s="70">
        <v>20769.4169</v>
      </c>
      <c r="F17" s="271">
        <v>0.27020800043172055</v>
      </c>
      <c r="G17" s="271">
        <v>3.2344266327584803E-2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10907.91087</v>
      </c>
      <c r="E18" s="70">
        <v>10967.335720000001</v>
      </c>
      <c r="F18" s="271">
        <v>0.24967697382649498</v>
      </c>
      <c r="G18" s="271">
        <v>5.4478672138251749E-3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2405.6501600000001</v>
      </c>
      <c r="E19" s="70">
        <v>2777.5027400000004</v>
      </c>
      <c r="F19" s="271">
        <v>0.27513102662651562</v>
      </c>
      <c r="G19" s="271">
        <v>0.15457467015902271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213524.64882999999</v>
      </c>
      <c r="E21" s="33">
        <v>134955.76483</v>
      </c>
      <c r="F21" s="270">
        <v>0.20989514663426223</v>
      </c>
      <c r="G21" s="270">
        <v>-0.36796165890221633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546475.68727999995</v>
      </c>
      <c r="E23" s="139">
        <v>485215.57264999999</v>
      </c>
      <c r="F23" s="274">
        <v>0.2439182502963024</v>
      </c>
      <c r="G23" s="274">
        <v>-0.11210034783965028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G3" sqref="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TABLE V - Regional Gov. non-tax revenue budget execution (january-april)</v>
      </c>
      <c r="D2" s="243"/>
      <c r="E2" s="243"/>
      <c r="F2" s="49"/>
      <c r="G2" s="49" t="str">
        <f>+IF(Índice!$D$2=1,"€ Milhares","€ Thousands")</f>
        <v>€ Thousands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2025</v>
      </c>
      <c r="E3" s="156">
        <v>2026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332951.03844999999</v>
      </c>
      <c r="E5" s="41">
        <v>350259.80781999999</v>
      </c>
      <c r="F5" s="275">
        <v>0.26016719665282634</v>
      </c>
      <c r="G5" s="42">
        <v>5.1985929975104428E-2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213524.64882999999</v>
      </c>
      <c r="E7" s="41">
        <v>134955.76483</v>
      </c>
      <c r="F7" s="275">
        <v>0.20989514663426223</v>
      </c>
      <c r="G7" s="42">
        <v>-0.36796165890221633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144101.27711</v>
      </c>
      <c r="E8" s="41">
        <v>124143.11818999999</v>
      </c>
      <c r="F8" s="275">
        <v>0.30143173342346236</v>
      </c>
      <c r="G8" s="42">
        <v>-0.13850091630183747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11092.10044</v>
      </c>
      <c r="E10" s="71">
        <v>7041.3682399999971</v>
      </c>
      <c r="F10" s="277">
        <v>0.14615363590722136</v>
      </c>
      <c r="G10" s="43">
        <v>-0.36519072486869786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3011.9073200000003</v>
      </c>
      <c r="E11" s="71">
        <v>315.57279000000005</v>
      </c>
      <c r="F11" s="277">
        <v>5.1754234422288659E-2</v>
      </c>
      <c r="G11" s="43">
        <v>-0.89522493341528186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125327.14391</v>
      </c>
      <c r="E12" s="71">
        <v>111938.20393999999</v>
      </c>
      <c r="F12" s="277">
        <v>0.33069949815176664</v>
      </c>
      <c r="G12" s="43">
        <v>-0.10683192445217515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3867.53017</v>
      </c>
      <c r="E13" s="47">
        <v>3898.8039100000005</v>
      </c>
      <c r="F13" s="277">
        <v>0.23565878071666602</v>
      </c>
      <c r="G13" s="43">
        <v>8.0862303913198375E-3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802.59527000000003</v>
      </c>
      <c r="E14" s="71">
        <v>949.16931</v>
      </c>
      <c r="F14" s="277">
        <v>0.37427118267129905</v>
      </c>
      <c r="G14" s="43">
        <v>0.18262509820173745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69423.371719999996</v>
      </c>
      <c r="E17" s="41">
        <v>10812.646640000001</v>
      </c>
      <c r="F17" s="275">
        <v>4.6783155092542703E-2</v>
      </c>
      <c r="G17" s="42">
        <v>-0.84425062666777662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19.8948</v>
      </c>
      <c r="E18" s="71">
        <v>376.97</v>
      </c>
      <c r="F18" s="277">
        <v>4.1261701551267911E-2</v>
      </c>
      <c r="G18" s="43">
        <v>17.94816736031526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67852.386969999992</v>
      </c>
      <c r="E19" s="44">
        <v>7771.9296899999999</v>
      </c>
      <c r="F19" s="277">
        <v>3.5681909964691387E-2</v>
      </c>
      <c r="G19" s="43">
        <v>-0.88545827144686517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3.4037700000000002</v>
      </c>
      <c r="E20" s="71">
        <v>0.32080999999999998</v>
      </c>
      <c r="F20" s="277">
        <v>1.4339158807491171E-2</v>
      </c>
      <c r="G20" s="43">
        <v>-0.90574862578846393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1547.6861799999999</v>
      </c>
      <c r="E21" s="47">
        <v>2663.42614</v>
      </c>
      <c r="F21" s="277">
        <v>0.64136952746840203</v>
      </c>
      <c r="G21" s="43">
        <v>0.72090839500808879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546475.68727999995</v>
      </c>
      <c r="E23" s="286">
        <v>485215.57264999999</v>
      </c>
      <c r="F23" s="287">
        <v>0.2439182502963024</v>
      </c>
      <c r="G23" s="287">
        <v>-0.11210034783965028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H3" sqref="H3:H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22.5">
      <c r="B2" s="16"/>
      <c r="C2" s="252" t="str">
        <f>+IF(Índice!$D$2=1,"QUADRO VI - Execução orçamental das despesas do Governo Regional (janeiro-abril)","TABLE VI - Regional Gov. expenditure budget execution (january-april)")</f>
        <v>TABLE VI - Regional Gov. expenditure budget execution (january-april)</v>
      </c>
      <c r="D2" s="205"/>
      <c r="E2" s="205"/>
      <c r="F2" s="205"/>
      <c r="G2" s="54"/>
      <c r="H2" s="52" t="str">
        <f>+IF(Índice!$D$2=1,"€ Milhares","€ Thousands")</f>
        <v>€ Thousands</v>
      </c>
      <c r="J2" s="178" t="str">
        <f>+IF(Índice!$D$2=1,"índice","Index")</f>
        <v>Index</v>
      </c>
    </row>
    <row r="3" spans="1:15" ht="24.95" customHeight="1">
      <c r="C3" s="89"/>
      <c r="D3" s="327">
        <v>2025</v>
      </c>
      <c r="E3" s="329">
        <v>2026</v>
      </c>
      <c r="F3" s="153">
        <v>2025</v>
      </c>
      <c r="G3" s="153">
        <v>2026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410617.25625000003</v>
      </c>
      <c r="E5" s="253">
        <v>472626.59239000001</v>
      </c>
      <c r="F5" s="253">
        <v>25.875087382645056</v>
      </c>
      <c r="G5" s="253">
        <v>26.787453934902107</v>
      </c>
      <c r="H5" s="253">
        <v>15.101492983102064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142136.10166000001</v>
      </c>
      <c r="E6" s="74">
        <v>150884.44517000002</v>
      </c>
      <c r="F6" s="74">
        <v>29.181612343658802</v>
      </c>
      <c r="G6" s="74">
        <v>28.252469158979331</v>
      </c>
      <c r="H6" s="254">
        <v>6.1549060427495652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110840.36376000005</v>
      </c>
      <c r="E7" s="75">
        <v>115114.73018000003</v>
      </c>
      <c r="F7" s="75">
        <v>29.082370969507942</v>
      </c>
      <c r="G7" s="75">
        <v>27.453362938596737</v>
      </c>
      <c r="H7" s="254">
        <v>3.8563265898830488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9727.1631799999959</v>
      </c>
      <c r="E8" s="75">
        <v>10112.877860000002</v>
      </c>
      <c r="F8" s="75">
        <v>66.582873135229931</v>
      </c>
      <c r="G8" s="75">
        <v>62.719072776027588</v>
      </c>
      <c r="H8" s="254">
        <v>3.9653357598963046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21568.574720000011</v>
      </c>
      <c r="E9" s="75">
        <v>25656.83713</v>
      </c>
      <c r="F9" s="75">
        <v>23.613640683186794</v>
      </c>
      <c r="G9" s="75">
        <v>26.014974619446324</v>
      </c>
      <c r="H9" s="254">
        <v>18.95471751412968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52765.908269999949</v>
      </c>
      <c r="E10" s="75">
        <v>69024.553259999971</v>
      </c>
      <c r="F10" s="75">
        <v>23.550269019422618</v>
      </c>
      <c r="G10" s="75">
        <v>29.187118276588553</v>
      </c>
      <c r="H10" s="254">
        <v>30.812783335038073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23333.970750000011</v>
      </c>
      <c r="E11" s="75">
        <v>22846.979839999993</v>
      </c>
      <c r="F11" s="75">
        <v>17.036977962253687</v>
      </c>
      <c r="G11" s="75">
        <v>17.541840489808354</v>
      </c>
      <c r="H11" s="254">
        <v>-2.0870468863513869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190969.45808000004</v>
      </c>
      <c r="E12" s="74">
        <v>226256.31594</v>
      </c>
      <c r="F12" s="74">
        <v>26.489335095994583</v>
      </c>
      <c r="G12" s="74">
        <v>26.759002878175959</v>
      </c>
      <c r="H12" s="254">
        <v>18.477749381902601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169393.23530000003</v>
      </c>
      <c r="E13" s="74">
        <v>205233.10174000001</v>
      </c>
      <c r="F13" s="74">
        <v>27.94331702065239</v>
      </c>
      <c r="G13" s="74">
        <v>28.90817860313048</v>
      </c>
      <c r="H13" s="254">
        <v>21.157790850695189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169393.23530000003</v>
      </c>
      <c r="E15" s="75">
        <v>205233.10174000001</v>
      </c>
      <c r="F15" s="75">
        <v>27.971343548358547</v>
      </c>
      <c r="G15" s="75">
        <v>28.956454572291513</v>
      </c>
      <c r="H15" s="254">
        <v>21.157790850695189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21576.22278</v>
      </c>
      <c r="E18" s="75">
        <v>21023.214200000002</v>
      </c>
      <c r="F18" s="72">
        <v>18.806648684839519</v>
      </c>
      <c r="G18" s="72">
        <v>15.50553693888993</v>
      </c>
      <c r="H18" s="77">
        <v>-2.5630463016566885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1103.2491500000001</v>
      </c>
      <c r="E19" s="72">
        <v>3159.1092399999998</v>
      </c>
      <c r="F19" s="72">
        <v>9.710411241183829</v>
      </c>
      <c r="G19" s="72">
        <v>26.685961777292867</v>
      </c>
      <c r="H19" s="77">
        <v>186.3459482384373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308.56834000000026</v>
      </c>
      <c r="E20" s="72">
        <v>455.18894000000017</v>
      </c>
      <c r="F20" s="72">
        <v>4.7191091071786655</v>
      </c>
      <c r="G20" s="72">
        <v>7.346043868825392</v>
      </c>
      <c r="H20" s="77">
        <v>47.51641078925978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387283.2855</v>
      </c>
      <c r="E22" s="78">
        <v>449779.61255000002</v>
      </c>
      <c r="F22" s="78">
        <v>26.709919773766082</v>
      </c>
      <c r="G22" s="78">
        <v>27.524350768755784</v>
      </c>
      <c r="H22" s="76">
        <v>16.137109291797728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29021.049410000003</v>
      </c>
      <c r="E24" s="78">
        <v>25101.487870000004</v>
      </c>
      <c r="F24" s="78">
        <v>8.6187276070047467</v>
      </c>
      <c r="G24" s="78">
        <v>6.7053497724659756</v>
      </c>
      <c r="H24" s="76">
        <v>-13.505926283456194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18598.131040000004</v>
      </c>
      <c r="E25" s="72">
        <v>12997.547970000003</v>
      </c>
      <c r="F25" s="72">
        <v>10.443451874904794</v>
      </c>
      <c r="G25" s="72">
        <v>6.5458360258792041</v>
      </c>
      <c r="H25" s="77">
        <v>-30.113687541799361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10422.918369999999</v>
      </c>
      <c r="E26" s="59">
        <v>12103.939899999999</v>
      </c>
      <c r="F26" s="59">
        <v>6.654200516285222</v>
      </c>
      <c r="G26" s="59">
        <v>6.8969872796848488</v>
      </c>
      <c r="H26" s="77">
        <v>16.128127174423991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7365.9535000000005</v>
      </c>
      <c r="E27" s="59">
        <v>3695.9984799999997</v>
      </c>
      <c r="F27" s="59">
        <v>6.9599640422894851</v>
      </c>
      <c r="G27" s="59">
        <v>3.7292474433077212</v>
      </c>
      <c r="H27" s="77">
        <v>-49.823217320065908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1203.35051</v>
      </c>
      <c r="E28" s="72">
        <v>800.5340799999999</v>
      </c>
      <c r="F28" s="72">
        <v>10.981113605907451</v>
      </c>
      <c r="G28" s="72">
        <v>8.1571594036733455</v>
      </c>
      <c r="H28" s="77">
        <v>-33.474571760475683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6162.6029900000003</v>
      </c>
      <c r="E29" s="72">
        <v>2895.4643999999998</v>
      </c>
      <c r="F29" s="72">
        <v>7.2156433775194193</v>
      </c>
      <c r="G29" s="72">
        <v>3.3570853179955411</v>
      </c>
      <c r="H29" s="77">
        <v>-53.015561692057013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103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439638.30566000001</v>
      </c>
      <c r="E33" s="142">
        <v>497728.08026000002</v>
      </c>
      <c r="F33" s="143">
        <v>22.854475800356091</v>
      </c>
      <c r="G33" s="143">
        <v>23.272369906195326</v>
      </c>
      <c r="H33" s="141">
        <v>13.213083084922198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608.14400000000001</v>
      </c>
      <c r="E36" s="150">
        <v>5000</v>
      </c>
      <c r="F36" s="150">
        <v>1.0182715193251557</v>
      </c>
      <c r="G36" s="150">
        <v>45.966579722413336</v>
      </c>
      <c r="H36" s="128">
        <v>722.17369570364906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56192.461089999997</v>
      </c>
      <c r="E37" s="150">
        <v>50951.160240000005</v>
      </c>
      <c r="F37" s="150">
        <v>12.116852657563742</v>
      </c>
      <c r="G37" s="150">
        <v>21.718274259274629</v>
      </c>
      <c r="H37" s="128">
        <v>-9.3274093149351902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sqref="A1:XFD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TABLE VII - Regional Gov. expenditure by functional classification (january-april)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2025</v>
      </c>
      <c r="E3" s="332">
        <v>2026</v>
      </c>
      <c r="F3" s="333" t="str">
        <f>+IF(Índice!$D$2=1,"Peso na estrutura
 em 2026","Weight in 2026 structure")</f>
        <v>Weight in 2026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55751.640290000025</v>
      </c>
      <c r="E5" s="34">
        <v>64222.008319999994</v>
      </c>
      <c r="F5" s="34">
        <v>12.903030965512757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4468.7685300000003</v>
      </c>
      <c r="E7" s="34">
        <v>5128.7029499999999</v>
      </c>
      <c r="F7" s="34">
        <v>1.0304226651871642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69557.482800000027</v>
      </c>
      <c r="E8" s="34">
        <v>81422.782269999909</v>
      </c>
      <c r="F8" s="34">
        <v>16.358888617951148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7275.0448899999992</v>
      </c>
      <c r="E9" s="34">
        <v>494.82898</v>
      </c>
      <c r="F9" s="34">
        <v>9.9417533312871231E-2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15790.02865</v>
      </c>
      <c r="E10" s="34">
        <v>11843.619889999998</v>
      </c>
      <c r="F10" s="34">
        <v>2.3795362085685827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136935.36288</v>
      </c>
      <c r="E11" s="34">
        <v>169873.44485000003</v>
      </c>
      <c r="F11" s="34">
        <v>34.129769162564145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8902.6921199999979</v>
      </c>
      <c r="E12" s="34">
        <v>9621.0939899999976</v>
      </c>
      <c r="F12" s="34">
        <v>1.9330020490252811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134206.01628000019</v>
      </c>
      <c r="E13" s="34">
        <v>141075.63775000014</v>
      </c>
      <c r="F13" s="34">
        <v>28.34391776254736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6751.269220000001</v>
      </c>
      <c r="E14" s="34">
        <v>14045.961259999998</v>
      </c>
      <c r="F14" s="34">
        <v>2.8220150353306881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439638.3056600003</v>
      </c>
      <c r="E17" s="145">
        <v>497728.08026000008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608.14400000000001</v>
      </c>
      <c r="E20" s="152">
        <v>5000</v>
      </c>
      <c r="F20" s="152">
        <v>1.0045645801997209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56192.461089999997</v>
      </c>
      <c r="E21" s="282">
        <v>50951.160240000005</v>
      </c>
      <c r="F21" s="282">
        <v>10.236746179436864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2026-05-28T10:36:52Z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