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Maio\"/>
    </mc:Choice>
  </mc:AlternateContent>
  <xr:revisionPtr revIDLastSave="0" documentId="8_{BD3C9A76-BED4-4BB5-9FB9-3F5436D8F194}" xr6:coauthVersionLast="47" xr6:coauthVersionMax="47" xr10:uidLastSave="{00000000-0000-0000-0000-000000000000}"/>
  <bookViews>
    <workbookView xWindow="-120" yWindow="-120" windowWidth="29040" windowHeight="15840" tabRatio="953" firstSheet="1" activeTab="1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D3" i="61"/>
  <c r="C2" i="38"/>
  <c r="G3" i="38"/>
  <c r="D3" i="38"/>
  <c r="C2" i="32"/>
  <c r="D42" i="38" l="1"/>
  <c r="C41" i="38"/>
  <c r="D33" i="38"/>
  <c r="C32" i="38"/>
  <c r="D24" i="38"/>
  <c r="C23" i="38"/>
  <c r="A16" i="54" s="1"/>
  <c r="A8" i="54"/>
  <c r="A14" i="54"/>
  <c r="G33" i="38"/>
  <c r="G24" i="38"/>
  <c r="G42" i="38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<sst xmlns="http://schemas.openxmlformats.org/spreadsheetml/2006/main" count="123" uniqueCount="105">
  <si>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</si>
  <si>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</si>
  <si>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</si>
  <si>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</si>
  <si>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</si>
  <si>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</si>
  <si>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</si>
  <si>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</si>
  <si>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</si>
  <si>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</si>
  <si>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</si>
  <si>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</si>
  <si>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</si>
  <si>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</si>
  <si>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</si>
  <si>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</si>
  <si>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</si>
  <si>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</si>
  <si>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</si>
  <si>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</si>
  <si>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</si>
  <si>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</si>
  <si>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</si>
  <si>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</si>
  <si>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</si>
  <si>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</si>
  <si>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</si>
  <si>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</si>
  <si>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</si>
  <si>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</si>
  <si>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</si>
  <si>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</si>
  <si>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</si>
  <si>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</si>
  <si>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</si>
  <si>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</si>
  <si>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</si>
  <si>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</si>
  <si>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</si>
  <si>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</si>
  <si>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</si>
  <si>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</si>
  <si>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</si>
  <si>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</si>
  <si>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</si>
  <si>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</si>
  <si>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</si>
  <si>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</si>
  <si>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</si>
  <si>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</si>
  <si>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</si>
  <si>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</si>
  <si>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</si>
  <si>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</si>
  <si>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</si>
  <si>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</si>
  <si>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</si>
  <si>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</si>
  <si>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</si>
  <si>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</si>
  <si>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</si>
  <si>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</si>
  <si>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</si>
  <si>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</si>
  <si>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</si>
  <si>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</si>
  <si>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</si>
  <si>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</si>
  <si>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</si>
  <si>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</si>
  <si>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</si>
  <si>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</si>
  <si>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</si>
  <si>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</si>
  <si>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</si>
  <si>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</si>
  <si>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</si>
  <si>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</si>
  <si>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</si>
  <si>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</si>
  <si>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</si>
  <si>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</si>
  <si>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</si>
  <si>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</si>
  <si>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</si>
  <si>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</si>
  <si>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</si>
  <si>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</si>
  <si>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</si>
  <si>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</si>
  <si>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</si>
  <si>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</si>
  <si>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</si>
  <si>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</si>
  <si>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</si>
  <si>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</si>
  <si>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</si>
  <si>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</si>
  <si>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</si>
  <si>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</si>
  <si>
    <t>Direção Regional de Turismo</t>
  </si>
  <si>
    <t>Direção Regional dos Assuntos Sociais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</si>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</sst>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49" fontId="64" fillId="0" borderId="25" xfId="62" applyNumberFormat="1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Q25" sqref="Q2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QUADRO VII - Despesa do Governo Regional, por classificação funcional (janeiro-maio)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2022</v>
      </c>
      <c r="E3" s="331">
        <v>2023</v>
      </c>
      <c r="F3" s="332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64242.552539999982</v>
      </c>
      <c r="E5" s="34">
        <v>71964.45511999997</v>
      </c>
      <c r="F5" s="34">
        <v>14.546487872976007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3997.6354999999994</v>
      </c>
      <c r="E7" s="34">
        <v>3623.3999899999994</v>
      </c>
      <c r="F7" s="34">
        <v>0.73241357730822487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141089.04058000003</v>
      </c>
      <c r="E8" s="34">
        <v>95237.646529999838</v>
      </c>
      <c r="F8" s="34">
        <v>19.250799133951936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5965.8356500000045</v>
      </c>
      <c r="E9" s="34">
        <v>6078.4207799999986</v>
      </c>
      <c r="F9" s="34">
        <v>1.2286575923582894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14620.267599999999</v>
      </c>
      <c r="E10" s="34">
        <v>25462.480439999992</v>
      </c>
      <c r="F10" s="34">
        <v>5.1468417612379307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136579.82816</v>
      </c>
      <c r="E11" s="34">
        <v>132178.46965999997</v>
      </c>
      <c r="F11" s="34">
        <v>26.717808156423622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10185.032240000002</v>
      </c>
      <c r="E12" s="34">
        <v>9885.7560100000082</v>
      </c>
      <c r="F12" s="34">
        <v>1.9982507986043216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135910.51353000005</v>
      </c>
      <c r="E13" s="34">
        <v>143467.01144000015</v>
      </c>
      <c r="F13" s="34">
        <v>28.99961013536641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4901.1115</v>
      </c>
      <c r="E14" s="34">
        <v>6822.8434099999995</v>
      </c>
      <c r="F14" s="34">
        <v>1.3791309717732676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517491.81730000011</v>
      </c>
      <c r="E17" s="145">
        <v>494720.48337999987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17292.575350000003</v>
      </c>
      <c r="E20" s="152">
        <v>11609.676239999999</v>
      </c>
      <c r="F20" s="152">
        <v>2.3467142821095783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105516.66495000001</v>
      </c>
      <c r="E21" s="283">
        <v>91819.74066000001</v>
      </c>
      <c r="F21" s="283">
        <v>18.55992297563154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QUADRO VIII - Execução orçamental por classificação cruzada orgânica e económica (janeiro-maio)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24</v>
      </c>
    </row>
    <row r="4" spans="2:18" ht="27" customHeight="1">
      <c r="C4" s="253" t="str">
        <f>+IF(Índice!$D$2=1,"Despesa corrente","Current expenditure")</f>
        <v>Despesa corrente</v>
      </c>
      <c r="D4" s="194">
        <v>5430</v>
      </c>
      <c r="E4" s="194">
        <v>868.23037999999997</v>
      </c>
      <c r="F4" s="194">
        <v>150684.52562000003</v>
      </c>
      <c r="G4" s="194">
        <v>12851.724810000002</v>
      </c>
      <c r="H4" s="194">
        <v>64281.249460000006</v>
      </c>
      <c r="I4" s="194">
        <v>133021.78104999999</v>
      </c>
      <c r="J4" s="194">
        <v>7510.48765</v>
      </c>
      <c r="K4" s="194">
        <v>8503.3707800000011</v>
      </c>
      <c r="L4" s="194">
        <v>7283.0404199999994</v>
      </c>
      <c r="M4" s="194">
        <v>2585.1285000000007</v>
      </c>
      <c r="N4" s="194">
        <v>9073.5457899999983</v>
      </c>
      <c r="O4" s="194">
        <v>48682.090510000002</v>
      </c>
      <c r="P4" s="194">
        <v>450775.17496999993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615.58761000000004</v>
      </c>
      <c r="F5" s="196">
        <v>117776.23444000003</v>
      </c>
      <c r="G5" s="196">
        <v>2472.1248099999998</v>
      </c>
      <c r="H5" s="196">
        <v>10968.770260000003</v>
      </c>
      <c r="I5" s="196">
        <v>1875.0719300000001</v>
      </c>
      <c r="J5" s="196">
        <v>4442.7620800000004</v>
      </c>
      <c r="K5" s="196">
        <v>1989.2717999999998</v>
      </c>
      <c r="L5" s="196">
        <v>2056.6781699999997</v>
      </c>
      <c r="M5" s="196">
        <v>2087.1227100000006</v>
      </c>
      <c r="N5" s="196">
        <v>6407.5523599999997</v>
      </c>
      <c r="O5" s="196">
        <v>5626.6820599999992</v>
      </c>
      <c r="P5" s="196">
        <v>156317.85823000001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489.42202000000003</v>
      </c>
      <c r="F6" s="198">
        <v>98667.870770000009</v>
      </c>
      <c r="G6" s="198">
        <v>2082.6312699999999</v>
      </c>
      <c r="H6" s="198">
        <v>8441.5212300000039</v>
      </c>
      <c r="I6" s="198">
        <v>1564.6652100000001</v>
      </c>
      <c r="J6" s="198">
        <v>3741.252140000001</v>
      </c>
      <c r="K6" s="198">
        <v>1620.0562799999998</v>
      </c>
      <c r="L6" s="198">
        <v>1742.2610499999996</v>
      </c>
      <c r="M6" s="198">
        <v>1721.9049800000003</v>
      </c>
      <c r="N6" s="198">
        <v>5307.4241300000003</v>
      </c>
      <c r="O6" s="198">
        <v>4718.2206599999981</v>
      </c>
      <c r="P6" s="198">
        <v>130097.22974000001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7.7671400000000004</v>
      </c>
      <c r="F7" s="198">
        <v>787.66622000000007</v>
      </c>
      <c r="G7" s="198">
        <v>9.589599999999999</v>
      </c>
      <c r="H7" s="198">
        <v>819.95026000000007</v>
      </c>
      <c r="I7" s="198">
        <v>5.8345300000000009</v>
      </c>
      <c r="J7" s="198">
        <v>13.626909999999999</v>
      </c>
      <c r="K7" s="198">
        <v>69.136980000000023</v>
      </c>
      <c r="L7" s="198">
        <v>3.3150600000000003</v>
      </c>
      <c r="M7" s="198">
        <v>50.722409999999996</v>
      </c>
      <c r="N7" s="198">
        <v>93.293940000000006</v>
      </c>
      <c r="O7" s="198">
        <v>40.295309999999994</v>
      </c>
      <c r="P7" s="198">
        <v>1901.1983600000003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118.39845</v>
      </c>
      <c r="F8" s="198">
        <v>18320.697450000018</v>
      </c>
      <c r="G8" s="198">
        <v>379.90394000000003</v>
      </c>
      <c r="H8" s="198">
        <v>1707.2987700000001</v>
      </c>
      <c r="I8" s="198">
        <v>304.57218999999998</v>
      </c>
      <c r="J8" s="198">
        <v>687.88302999999996</v>
      </c>
      <c r="K8" s="198">
        <v>300.07854000000003</v>
      </c>
      <c r="L8" s="198">
        <v>311.10205999999999</v>
      </c>
      <c r="M8" s="198">
        <v>314.49532000000005</v>
      </c>
      <c r="N8" s="198">
        <v>1006.8342899999999</v>
      </c>
      <c r="O8" s="198">
        <v>868.16609000000017</v>
      </c>
      <c r="P8" s="198">
        <v>24319.430130000019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252.64276999999998</v>
      </c>
      <c r="F9" s="196">
        <v>6466.4883899999959</v>
      </c>
      <c r="G9" s="196">
        <v>514.53798999999992</v>
      </c>
      <c r="H9" s="196">
        <v>12495.261310000002</v>
      </c>
      <c r="I9" s="196">
        <v>334.79406000000006</v>
      </c>
      <c r="J9" s="196">
        <v>2122.0289799999996</v>
      </c>
      <c r="K9" s="196">
        <v>197.53771999999998</v>
      </c>
      <c r="L9" s="196">
        <v>325.10465000000011</v>
      </c>
      <c r="M9" s="196">
        <v>409.43448999999993</v>
      </c>
      <c r="N9" s="196">
        <v>987.74699999999984</v>
      </c>
      <c r="O9" s="196">
        <v>41223.551930000009</v>
      </c>
      <c r="P9" s="196">
        <v>65329.129290000004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61.773800000000001</v>
      </c>
      <c r="F10" s="198">
        <v>3376.0107200000007</v>
      </c>
      <c r="G10" s="198">
        <v>75.367900000000006</v>
      </c>
      <c r="H10" s="198">
        <v>197.30464000000001</v>
      </c>
      <c r="I10" s="198">
        <v>75.328339999999997</v>
      </c>
      <c r="J10" s="198">
        <v>244.42582999999996</v>
      </c>
      <c r="K10" s="198">
        <v>2.4679000000000002</v>
      </c>
      <c r="L10" s="198">
        <v>9.8807999999999989</v>
      </c>
      <c r="M10" s="198">
        <v>24.731430000000003</v>
      </c>
      <c r="N10" s="198">
        <v>320.31133999999997</v>
      </c>
      <c r="O10" s="198">
        <v>591.94948000000011</v>
      </c>
      <c r="P10" s="198">
        <v>4979.5521800000006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190.86896999999999</v>
      </c>
      <c r="F11" s="198">
        <v>3090.4776699999952</v>
      </c>
      <c r="G11" s="198">
        <v>439.17008999999996</v>
      </c>
      <c r="H11" s="198">
        <v>12297.956670000001</v>
      </c>
      <c r="I11" s="198">
        <v>259.46572000000003</v>
      </c>
      <c r="J11" s="198">
        <v>1877.6031499999997</v>
      </c>
      <c r="K11" s="198">
        <v>195.06981999999996</v>
      </c>
      <c r="L11" s="198">
        <v>315.22385000000008</v>
      </c>
      <c r="M11" s="198">
        <v>384.70305999999994</v>
      </c>
      <c r="N11" s="198">
        <v>667.43565999999987</v>
      </c>
      <c r="O11" s="198">
        <v>40631.602450000006</v>
      </c>
      <c r="P11" s="198">
        <v>60349.577109999998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8.3183899999999991</v>
      </c>
      <c r="G12" s="198">
        <v>0</v>
      </c>
      <c r="H12" s="198">
        <v>38651.528129999999</v>
      </c>
      <c r="I12" s="198">
        <v>1.1789999999999998E-2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38659.858309999996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5430</v>
      </c>
      <c r="E13" s="196">
        <v>0</v>
      </c>
      <c r="F13" s="196">
        <v>26414.409130000007</v>
      </c>
      <c r="G13" s="196">
        <v>3413.5119199999999</v>
      </c>
      <c r="H13" s="196">
        <v>1890.81501</v>
      </c>
      <c r="I13" s="196">
        <v>130808.74753000001</v>
      </c>
      <c r="J13" s="196">
        <v>942.89101000000005</v>
      </c>
      <c r="K13" s="196">
        <v>6316.5612600000004</v>
      </c>
      <c r="L13" s="196">
        <v>3099.7688900000003</v>
      </c>
      <c r="M13" s="196">
        <v>53.387860000000003</v>
      </c>
      <c r="N13" s="196">
        <v>1668.9498799999999</v>
      </c>
      <c r="O13" s="196">
        <v>1794.0703800000001</v>
      </c>
      <c r="P13" s="196">
        <v>181833.11286999998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5430</v>
      </c>
      <c r="E14" s="200">
        <v>0</v>
      </c>
      <c r="F14" s="200">
        <v>6550.2390199999991</v>
      </c>
      <c r="G14" s="200">
        <v>2982.0545699999998</v>
      </c>
      <c r="H14" s="200">
        <v>1820.73099</v>
      </c>
      <c r="I14" s="200">
        <v>130395.44133</v>
      </c>
      <c r="J14" s="200">
        <v>0</v>
      </c>
      <c r="K14" s="200">
        <v>2238.32402</v>
      </c>
      <c r="L14" s="200">
        <v>3098.3186900000001</v>
      </c>
      <c r="M14" s="200">
        <v>0</v>
      </c>
      <c r="N14" s="200">
        <v>1367.96165</v>
      </c>
      <c r="O14" s="200">
        <v>1782.90724</v>
      </c>
      <c r="P14" s="200">
        <v>155665.97751000003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5430</v>
      </c>
      <c r="E16" s="198">
        <v>0</v>
      </c>
      <c r="F16" s="198">
        <v>6550.2390199999991</v>
      </c>
      <c r="G16" s="198">
        <v>2982.0545699999998</v>
      </c>
      <c r="H16" s="198">
        <v>1820.73099</v>
      </c>
      <c r="I16" s="198">
        <v>130395.44133</v>
      </c>
      <c r="J16" s="198">
        <v>0</v>
      </c>
      <c r="K16" s="198">
        <v>2238.32402</v>
      </c>
      <c r="L16" s="198">
        <v>3098.3186900000001</v>
      </c>
      <c r="M16" s="198">
        <v>0</v>
      </c>
      <c r="N16" s="198">
        <v>1367.96165</v>
      </c>
      <c r="O16" s="198">
        <v>1782.90724</v>
      </c>
      <c r="P16" s="198">
        <v>155665.97751000003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19864.17011000001</v>
      </c>
      <c r="G19" s="200">
        <v>431.45734999999996</v>
      </c>
      <c r="H19" s="200">
        <v>70.084019999999995</v>
      </c>
      <c r="I19" s="200">
        <v>413.30619999999999</v>
      </c>
      <c r="J19" s="200">
        <v>942.89101000000005</v>
      </c>
      <c r="K19" s="200">
        <v>4078.2372399999999</v>
      </c>
      <c r="L19" s="200">
        <v>1.4501999999999999</v>
      </c>
      <c r="M19" s="200">
        <v>53.387860000000003</v>
      </c>
      <c r="N19" s="200">
        <v>300.98822999999999</v>
      </c>
      <c r="O19" s="200">
        <v>11.16314</v>
      </c>
      <c r="P19" s="200">
        <v>26167.135360000004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7323.3217400000003</v>
      </c>
      <c r="G20" s="198">
        <v>0</v>
      </c>
      <c r="H20" s="198">
        <v>0</v>
      </c>
      <c r="I20" s="198">
        <v>0</v>
      </c>
      <c r="J20" s="198">
        <v>9.75</v>
      </c>
      <c r="K20" s="198">
        <v>0</v>
      </c>
      <c r="L20" s="198">
        <v>0</v>
      </c>
      <c r="M20" s="198">
        <v>0</v>
      </c>
      <c r="N20" s="198">
        <v>0</v>
      </c>
      <c r="O20" s="198">
        <v>0.25</v>
      </c>
      <c r="P20" s="198">
        <v>7333.3217400000003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10051.057600000009</v>
      </c>
      <c r="G22" s="198">
        <v>421.13812999999999</v>
      </c>
      <c r="H22" s="198">
        <v>0</v>
      </c>
      <c r="I22" s="198">
        <v>397.64713</v>
      </c>
      <c r="J22" s="198">
        <v>765.24328000000003</v>
      </c>
      <c r="K22" s="198">
        <v>3645.0664299999999</v>
      </c>
      <c r="L22" s="198">
        <v>0</v>
      </c>
      <c r="M22" s="198">
        <v>42</v>
      </c>
      <c r="N22" s="198">
        <v>285.75</v>
      </c>
      <c r="O22" s="198">
        <v>0</v>
      </c>
      <c r="P22" s="198">
        <v>15607.902570000009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2489.7907699999996</v>
      </c>
      <c r="G23" s="198">
        <v>10.31922</v>
      </c>
      <c r="H23" s="198">
        <v>51.02702</v>
      </c>
      <c r="I23" s="198">
        <v>15.65907</v>
      </c>
      <c r="J23" s="198">
        <v>142.83273</v>
      </c>
      <c r="K23" s="198">
        <v>433.17081000000002</v>
      </c>
      <c r="L23" s="198">
        <v>1.4501999999999999</v>
      </c>
      <c r="M23" s="198">
        <v>11.38786</v>
      </c>
      <c r="N23" s="198">
        <v>15.23823</v>
      </c>
      <c r="O23" s="198">
        <v>10.91314</v>
      </c>
      <c r="P23" s="198">
        <v>3181.7890499999999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44.122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6449.9855200000011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18.642599999999998</v>
      </c>
      <c r="N25" s="198">
        <v>0</v>
      </c>
      <c r="O25" s="198">
        <v>0</v>
      </c>
      <c r="P25" s="198">
        <v>8262.5481199999995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19.07527</v>
      </c>
      <c r="G26" s="198">
        <v>1.56457</v>
      </c>
      <c r="H26" s="198">
        <v>274.87475000000001</v>
      </c>
      <c r="I26" s="198">
        <v>3.1557399999999998</v>
      </c>
      <c r="J26" s="198">
        <v>2.80558</v>
      </c>
      <c r="K26" s="198">
        <v>0</v>
      </c>
      <c r="L26" s="198">
        <v>7.5687100000000003</v>
      </c>
      <c r="M26" s="198">
        <v>16.540839999999999</v>
      </c>
      <c r="N26" s="198">
        <v>9.2965500000000016</v>
      </c>
      <c r="O26" s="198">
        <v>37.786139999999996</v>
      </c>
      <c r="P26" s="198">
        <v>372.66815000000003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5.2246800000000002</v>
      </c>
      <c r="F27" s="32">
        <v>453.84270000000015</v>
      </c>
      <c r="G27" s="32">
        <v>9170.8342099999991</v>
      </c>
      <c r="H27" s="32">
        <v>4005.954209999999</v>
      </c>
      <c r="I27" s="32">
        <v>235.21638000000002</v>
      </c>
      <c r="J27" s="32">
        <v>1276.2241799999999</v>
      </c>
      <c r="K27" s="32">
        <v>4.4700100000000003</v>
      </c>
      <c r="L27" s="32">
        <v>148.43391</v>
      </c>
      <c r="M27" s="32">
        <v>219.69630000000001</v>
      </c>
      <c r="N27" s="32">
        <v>2520.4853700000003</v>
      </c>
      <c r="O27" s="32">
        <v>25834.926459999991</v>
      </c>
      <c r="P27" s="32">
        <v>43945.308409999983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5.2246800000000002</v>
      </c>
      <c r="F28" s="198">
        <v>354.50283000000013</v>
      </c>
      <c r="G28" s="198">
        <v>21.210830000000001</v>
      </c>
      <c r="H28" s="198">
        <v>2266.4959299999991</v>
      </c>
      <c r="I28" s="198">
        <v>6.5027100000000004</v>
      </c>
      <c r="J28" s="198">
        <v>1007.48543</v>
      </c>
      <c r="K28" s="198">
        <v>4.4700100000000003</v>
      </c>
      <c r="L28" s="198">
        <v>145.24841000000001</v>
      </c>
      <c r="M28" s="198">
        <v>10.296550000000002</v>
      </c>
      <c r="N28" s="198">
        <v>247.60133000000002</v>
      </c>
      <c r="O28" s="198">
        <v>23845.737269999991</v>
      </c>
      <c r="P28" s="198">
        <v>27914.775979999991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99.339870000000005</v>
      </c>
      <c r="G29" s="196">
        <v>9149.6233799999991</v>
      </c>
      <c r="H29" s="196">
        <v>1739.4582799999998</v>
      </c>
      <c r="I29" s="196">
        <v>228.71367000000001</v>
      </c>
      <c r="J29" s="196">
        <v>268.73874999999998</v>
      </c>
      <c r="K29" s="196">
        <v>0</v>
      </c>
      <c r="L29" s="196">
        <v>3.1855000000000002</v>
      </c>
      <c r="M29" s="196">
        <v>209.39975000000001</v>
      </c>
      <c r="N29" s="196">
        <v>2272.8840400000004</v>
      </c>
      <c r="O29" s="196">
        <v>1989.1891899999998</v>
      </c>
      <c r="P29" s="196">
        <v>16030.532429999999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65.30932</v>
      </c>
      <c r="G30" s="200">
        <v>9149.6233799999991</v>
      </c>
      <c r="H30" s="200">
        <v>1739.4582799999998</v>
      </c>
      <c r="I30" s="200">
        <v>228.71367000000001</v>
      </c>
      <c r="J30" s="200">
        <v>0</v>
      </c>
      <c r="K30" s="200">
        <v>0</v>
      </c>
      <c r="L30" s="200">
        <v>3.1855000000000002</v>
      </c>
      <c r="M30" s="200">
        <v>209.39975000000001</v>
      </c>
      <c r="N30" s="200">
        <v>2272.8840400000004</v>
      </c>
      <c r="O30" s="200">
        <v>1989.1891899999998</v>
      </c>
      <c r="P30" s="200">
        <v>15727.763129999999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209.39975000000001</v>
      </c>
      <c r="N31" s="198">
        <v>2234.5485600000002</v>
      </c>
      <c r="O31" s="198">
        <v>0</v>
      </c>
      <c r="P31" s="198">
        <v>2443.9483100000002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65.30932</v>
      </c>
      <c r="G32" s="198">
        <v>9149.6233799999991</v>
      </c>
      <c r="H32" s="198">
        <v>1024.33053</v>
      </c>
      <c r="I32" s="198">
        <v>228.71367000000001</v>
      </c>
      <c r="J32" s="198">
        <v>0</v>
      </c>
      <c r="K32" s="198">
        <v>0</v>
      </c>
      <c r="L32" s="198">
        <v>3.1855000000000002</v>
      </c>
      <c r="M32" s="198">
        <v>0</v>
      </c>
      <c r="N32" s="198">
        <v>38.335480000000004</v>
      </c>
      <c r="O32" s="198">
        <v>1989.1891899999998</v>
      </c>
      <c r="P32" s="198">
        <v>12568.687069999996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715.12774999999999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715.12774999999999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34.030550000000005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302.76929999999999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5500</v>
      </c>
      <c r="E38" s="204">
        <v>873.45506</v>
      </c>
      <c r="F38" s="204">
        <v>151138.36832000004</v>
      </c>
      <c r="G38" s="204">
        <v>22022.559020000001</v>
      </c>
      <c r="H38" s="204">
        <v>68287.203670000003</v>
      </c>
      <c r="I38" s="204">
        <v>133256.99742999999</v>
      </c>
      <c r="J38" s="204">
        <v>8786.7118300000002</v>
      </c>
      <c r="K38" s="204">
        <v>8507.8407900000002</v>
      </c>
      <c r="L38" s="204">
        <v>7431.4743299999991</v>
      </c>
      <c r="M38" s="204">
        <v>2804.8248000000008</v>
      </c>
      <c r="N38" s="204">
        <v>11594.031159999999</v>
      </c>
      <c r="O38" s="204">
        <v>74517.016969999997</v>
      </c>
      <c r="P38" s="204">
        <v>494720.48338000005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6799.6347000000005</v>
      </c>
      <c r="H40" s="208">
        <v>2E-3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4668.66554</v>
      </c>
      <c r="P40" s="208">
        <v>11609.676240000001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91819.74066000001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91819.74066000001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57771.724049999997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Nota: Estrutura orgânica aprovada pelo Decreto Legislativo Regional n.º 18/2020/M, de 31 de janeiro, em vigor ao abrigo do n.º 1 do artigo 19.º do Decreto Regulamentar Regional n.º 9/2022/M, de 27 de janeiro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Fonte: Secretaria Regional das Finanças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3" sqref="I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QUADRO IX - Saldo Global do Subsetor - EPR (janeiro-maio)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-19342.01918000009</v>
      </c>
      <c r="E5" s="82">
        <v>-513.5570899999293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(janeiro-maio)","TABLE X - ASFs and RPEs budget execution (january-may)")</f>
        <v>QUADRO X - Execução orçamental dos Serviços e Fundos Autónomos e EPR (janeiro-maio)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4224.2895499999577</v>
      </c>
      <c r="E4" s="98">
        <v>-513.5570899999293</v>
      </c>
      <c r="F4" s="98">
        <v>3710.7324600000284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191909.08616999997</v>
      </c>
      <c r="E7" s="74">
        <v>133529.08848999994</v>
      </c>
      <c r="F7" s="74">
        <v>325438.1746599999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4357.8822699999573</v>
      </c>
      <c r="E8" s="74">
        <v>1569.6757900000707</v>
      </c>
      <c r="F8" s="74">
        <v>5927.5580600000285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4727.7811299999594</v>
      </c>
      <c r="E9" s="74">
        <v>-476.23582999991777</v>
      </c>
      <c r="F9" s="74">
        <v>4251.5453000000562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-503.49157999999807</v>
      </c>
      <c r="E10" s="74">
        <v>-37.321260000004258</v>
      </c>
      <c r="F10" s="74">
        <v>-540.81284000000232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(janeiro-maio)","TABLE XI - ASFs and RPEs budget execution (january-may)")</f>
        <v>QUADRO XI - Execução orçamental dos Serviços e Fundos Autónomos e EPR (janeiro-maio)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182355.52803999992</v>
      </c>
      <c r="E4" s="108">
        <v>127219.67739000001</v>
      </c>
      <c r="F4" s="108">
        <v>309575.20542999991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1761.17912</v>
      </c>
      <c r="E8" s="74">
        <v>4103.72487</v>
      </c>
      <c r="F8" s="74">
        <v>5864.9039899999998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178591.52650999994</v>
      </c>
      <c r="E9" s="74">
        <v>109372.77491000001</v>
      </c>
      <c r="F9" s="74">
        <v>287964.30141999992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12381.31511</v>
      </c>
      <c r="E10" s="74">
        <v>1337.1023499999999</v>
      </c>
      <c r="F10" s="74">
        <v>13718.417459999999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165638.60513999994</v>
      </c>
      <c r="E11" s="74">
        <v>107593.48145000001</v>
      </c>
      <c r="F11" s="74">
        <v>273232.08658999996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1555.0726099999999</v>
      </c>
      <c r="E12" s="74">
        <v>7368.0803800000003</v>
      </c>
      <c r="F12" s="74">
        <v>8923.1529900000005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447.74979999999994</v>
      </c>
      <c r="E13" s="74">
        <v>6375.0972299999994</v>
      </c>
      <c r="F13" s="74">
        <v>6822.847029999999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13911.440399999999</v>
      </c>
      <c r="E14" s="83">
        <v>7879.0868899999996</v>
      </c>
      <c r="F14" s="83">
        <v>21790.527289999998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11.21618</v>
      </c>
      <c r="F15" s="34">
        <v>11.21618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13889.8598</v>
      </c>
      <c r="E16" s="34">
        <v>7840.7649499999998</v>
      </c>
      <c r="F16" s="74">
        <v>21730.624749999999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3766.7510900000002</v>
      </c>
      <c r="E17" s="34">
        <v>5322.5869299999995</v>
      </c>
      <c r="F17" s="74">
        <v>9089.3380199999992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10123.10871</v>
      </c>
      <c r="E18" s="74">
        <v>2518.1780200000003</v>
      </c>
      <c r="F18" s="74">
        <v>12641.28673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13.04768</v>
      </c>
      <c r="F19" s="74">
        <v>13.04768</v>
      </c>
    </row>
    <row r="20" spans="2:6" ht="11.25" customHeight="1">
      <c r="C20" s="110" t="str">
        <f>+IF(Índice!$D$2=1,"Receita efetiva","Effective revenue")</f>
        <v>Receita efetiva</v>
      </c>
      <c r="D20" s="83">
        <v>196266.96843999991</v>
      </c>
      <c r="E20" s="83">
        <v>135098.76428</v>
      </c>
      <c r="F20" s="83">
        <v>331365.73271999991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177627.74690999996</v>
      </c>
      <c r="E22" s="83">
        <v>127695.91321999993</v>
      </c>
      <c r="F22" s="83">
        <v>305323.66012999986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18610.800070000005</v>
      </c>
      <c r="E23" s="74">
        <v>90159.074959999984</v>
      </c>
      <c r="F23" s="74">
        <v>108769.87503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38828.709569999919</v>
      </c>
      <c r="E24" s="74">
        <v>28822.425189999973</v>
      </c>
      <c r="F24" s="74">
        <v>67651.134759999899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133.59272000000001</v>
      </c>
      <c r="E25" s="74">
        <v>2083.23288</v>
      </c>
      <c r="F25" s="74">
        <v>2216.8256000000001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117853.40097000002</v>
      </c>
      <c r="E26" s="74">
        <v>5441.7648100000006</v>
      </c>
      <c r="F26" s="74">
        <v>123295.16578000001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734.02234999999985</v>
      </c>
      <c r="E27" s="74">
        <v>0</v>
      </c>
      <c r="F27" s="59">
        <v>734.02234999999985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117119.37862000002</v>
      </c>
      <c r="E28" s="74">
        <v>5441.7648100000006</v>
      </c>
      <c r="F28" s="59">
        <v>122561.14343000003</v>
      </c>
    </row>
    <row r="29" spans="2:6" ht="11.25" customHeight="1">
      <c r="C29" s="104" t="str">
        <f>+IF(Índice!$D$2=1,"Subsídios","Subsidies")</f>
        <v>Subsídios</v>
      </c>
      <c r="D29" s="74">
        <v>2132.9350700000005</v>
      </c>
      <c r="E29" s="74">
        <v>0.80500000000000005</v>
      </c>
      <c r="F29" s="74">
        <v>2133.7400700000003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68.308509999999998</v>
      </c>
      <c r="E30" s="74">
        <v>1188.6103800000003</v>
      </c>
      <c r="F30" s="74">
        <v>1256.9188900000004</v>
      </c>
    </row>
    <row r="31" spans="2:6" ht="11.25" customHeight="1">
      <c r="C31" s="110" t="str">
        <f>+IF(Índice!$D$2=1,"Despesa de capital","Capital expenditure")</f>
        <v>Despesa de capital</v>
      </c>
      <c r="D31" s="83">
        <v>14414.931979999998</v>
      </c>
      <c r="E31" s="83">
        <v>7916.4081500000038</v>
      </c>
      <c r="F31" s="83">
        <v>22331.34013</v>
      </c>
    </row>
    <row r="32" spans="2:6" ht="11.25" customHeight="1">
      <c r="C32" s="104" t="str">
        <f>+IF(Índice!$D$2=1,"Investimento","Investment")</f>
        <v>Investimento</v>
      </c>
      <c r="D32" s="74">
        <v>1789.3622499999992</v>
      </c>
      <c r="E32" s="74">
        <v>7916.4081500000038</v>
      </c>
      <c r="F32" s="74">
        <v>9705.7704000000031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12617.314119999997</v>
      </c>
      <c r="E33" s="74">
        <v>0</v>
      </c>
      <c r="F33" s="74">
        <v>12617.314119999997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192042.67888999995</v>
      </c>
      <c r="E36" s="83">
        <v>135612.32136999993</v>
      </c>
      <c r="F36" s="83">
        <v>327655.00025999988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2972.31113</v>
      </c>
      <c r="E38" s="35">
        <v>527.97901000000002</v>
      </c>
      <c r="F38" s="35">
        <v>3500.2901400000001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10241.237509999999</v>
      </c>
      <c r="F39" s="35">
        <v>10241.237509999999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4224.2895499999577</v>
      </c>
      <c r="E44" s="114">
        <v>-513.5570899999293</v>
      </c>
      <c r="F44" s="114">
        <v>3710.7324600000284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QUADRO XII - Execução orçamental dos Serviços e Fundos Autónomos e EPR (maio)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2023","may 2023")</f>
        <v>maio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37182.783019999915</v>
      </c>
      <c r="E5" s="317">
        <v>21912.078800000021</v>
      </c>
      <c r="F5" s="317">
        <v>59094.861819999933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37182.783019999915</v>
      </c>
      <c r="E9" s="74">
        <v>21912.078800000021</v>
      </c>
      <c r="F9" s="74">
        <v>59094.861819999933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36346.931519999918</v>
      </c>
      <c r="E10" s="74">
        <v>17379.252150000022</v>
      </c>
      <c r="F10" s="74">
        <v>53726.18366999994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760.48632000000032</v>
      </c>
      <c r="E11" s="83">
        <v>2958.9836000000005</v>
      </c>
      <c r="F11" s="83">
        <v>3719.4699200000009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1.3797600000000003</v>
      </c>
      <c r="F12" s="34">
        <v>1.3797600000000003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758.22365000000036</v>
      </c>
      <c r="E13" s="34">
        <v>2952.0652400000004</v>
      </c>
      <c r="F13" s="74">
        <v>3710.2888900000007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37943.269339999919</v>
      </c>
      <c r="E15" s="83">
        <v>24871.062400000021</v>
      </c>
      <c r="F15" s="83">
        <v>62814.331739999936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38230.513189999874</v>
      </c>
      <c r="E17" s="83">
        <v>27731.857999999949</v>
      </c>
      <c r="F17" s="83">
        <v>65962.371189999831</v>
      </c>
    </row>
    <row r="18" spans="3:6" ht="11.25" customHeight="1">
      <c r="C18" s="104" t="str">
        <f>+IF(Índice!$D$2=1,"Consumo público","Public consumption")</f>
        <v>Consumo público</v>
      </c>
      <c r="D18" s="74">
        <v>17113.556949999889</v>
      </c>
      <c r="E18" s="74">
        <v>25005.701809999948</v>
      </c>
      <c r="F18" s="74">
        <v>42119.258759999837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4045.8760100000036</v>
      </c>
      <c r="E19" s="74">
        <v>14149.936039999991</v>
      </c>
      <c r="F19" s="74">
        <v>18195.812049999993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13067.680939999887</v>
      </c>
      <c r="E20" s="74">
        <v>10855.76576999996</v>
      </c>
      <c r="F20" s="74">
        <v>23923.446709999847</v>
      </c>
    </row>
    <row r="21" spans="3:6" ht="11.25" customHeight="1">
      <c r="C21" s="104" t="str">
        <f>+IF(Índice!$D$2=1,"Subsídios","Subsidies")</f>
        <v>Subsídios</v>
      </c>
      <c r="D21" s="74">
        <v>479.65169000000043</v>
      </c>
      <c r="E21" s="74">
        <v>0</v>
      </c>
      <c r="F21" s="74">
        <v>479.65169000000043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97.995249999999999</v>
      </c>
      <c r="E22" s="74">
        <v>1634.2074399999999</v>
      </c>
      <c r="F22" s="59">
        <v>1732.2026899999998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20539.309299999983</v>
      </c>
      <c r="E23" s="74">
        <v>1091.9487500000018</v>
      </c>
      <c r="F23" s="59">
        <v>21631.258049999986</v>
      </c>
    </row>
    <row r="24" spans="3:6" ht="11.25" customHeight="1">
      <c r="C24" s="110" t="str">
        <f>+IF(Índice!$D$2=1,"Despesa de capital","Capital expenditure")</f>
        <v>Despesa de capital</v>
      </c>
      <c r="D24" s="83">
        <v>3338.8809199999969</v>
      </c>
      <c r="E24" s="83">
        <v>1800.7002600000008</v>
      </c>
      <c r="F24" s="83">
        <v>5139.5811799999974</v>
      </c>
    </row>
    <row r="25" spans="3:6" ht="11.25" customHeight="1">
      <c r="C25" s="104" t="str">
        <f>+IF(Índice!$D$2=1,"Investimento","Investment")</f>
        <v>Investimento</v>
      </c>
      <c r="D25" s="74">
        <v>1251.8288999999993</v>
      </c>
      <c r="E25" s="74">
        <v>1800.7002600000008</v>
      </c>
      <c r="F25" s="74">
        <v>3052.52916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2087.0520199999978</v>
      </c>
      <c r="E26" s="74">
        <v>0</v>
      </c>
      <c r="F26" s="74">
        <v>2087.0520199999978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41569.39410999987</v>
      </c>
      <c r="E29" s="83">
        <v>29532.558259999951</v>
      </c>
      <c r="F29" s="83">
        <v>71101.952369999824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-3626.1247699999512</v>
      </c>
      <c r="E31" s="319">
        <v>-4661.49585999993</v>
      </c>
      <c r="F31" s="319">
        <v>-8287.6206299998812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2023 (valores acumulados)","Table XIII- Accounts payable of the Regional Administration, may (accumulated)")</f>
        <v>QUADRO XIII - Contas a pagar, da Administração Regional, no final de maio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26</v>
      </c>
      <c r="D3" s="352" t="str">
        <f>+IF(Índice!$D$2=1,"maio 2023","may 2023")</f>
        <v>maio 2023</v>
      </c>
      <c r="E3" s="352" t="str">
        <f>+IF(Índice!$D$2="PT","janeiro 2020","January")</f>
        <v>January</v>
      </c>
      <c r="F3" s="352" t="str">
        <f>+IF(Índice!$D$2="PT","janeiro 2020","January")</f>
        <v>January</v>
      </c>
      <c r="G3" s="343" t="str">
        <f>+IF(Índice!$D$2=1,"Variação face ao stock inicial de maio","Change from period initial stock")</f>
        <v>Variação face ao stock inicial de maio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Stock final do período</v>
      </c>
      <c r="E4" s="351"/>
      <c r="F4" s="351"/>
      <c r="G4" s="348" t="str">
        <f>+IF(Índice!$D$2=1,"Passivo","Liabilities")</f>
        <v>Passivo</v>
      </c>
      <c r="H4" s="348" t="str">
        <f>+IF(Índice!$D$2=1,"Contas a pagar","Accounts payable")</f>
        <v>Contas a pagar</v>
      </c>
      <c r="I4" s="337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9"/>
      <c r="H5" s="349"/>
      <c r="I5" s="338"/>
    </row>
    <row r="6" spans="2:11">
      <c r="B6" s="29"/>
      <c r="C6" s="119" t="str">
        <f>+IF(Índice!$D$2=1,"Despesa corrente","Current expenditure")</f>
        <v>Despesa corrente</v>
      </c>
      <c r="D6" s="162">
        <v>157924316.89000076</v>
      </c>
      <c r="E6" s="162">
        <v>143783120.61000073</v>
      </c>
      <c r="F6" s="162">
        <v>24496639.25</v>
      </c>
      <c r="G6" s="91">
        <v>0.37085844600115125</v>
      </c>
      <c r="H6" s="91">
        <v>0.35760775710160009</v>
      </c>
      <c r="I6" s="116">
        <v>0.57830931182852119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6824099.0200000023</v>
      </c>
      <c r="E7" s="165">
        <v>6058527.3400000008</v>
      </c>
      <c r="F7" s="165">
        <v>3963.91</v>
      </c>
      <c r="G7" s="95">
        <v>5.4414187143454651</v>
      </c>
      <c r="H7" s="95">
        <v>10.671375952982284</v>
      </c>
      <c r="I7" s="121">
        <v>-0.55125428633207707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79881229.160000741</v>
      </c>
      <c r="E8" s="165">
        <v>79269809.030000746</v>
      </c>
      <c r="F8" s="165">
        <v>22909820.239999998</v>
      </c>
      <c r="G8" s="95">
        <v>0.23768069675743253</v>
      </c>
      <c r="H8" s="95">
        <v>0.24373270436710226</v>
      </c>
      <c r="I8" s="121">
        <v>0.52818749238389162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21891624.960000001</v>
      </c>
      <c r="E9" s="165">
        <v>15535698.08</v>
      </c>
      <c r="F9" s="165">
        <v>322075.35000000009</v>
      </c>
      <c r="G9" s="95">
        <v>0.96934049727485672</v>
      </c>
      <c r="H9" s="95">
        <v>2.2505341270545958</v>
      </c>
      <c r="I9" s="121">
        <v>-0.13446524347278777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46483631.079999998</v>
      </c>
      <c r="E10" s="165">
        <v>40081988.719999999</v>
      </c>
      <c r="F10" s="165">
        <v>1259144.43</v>
      </c>
      <c r="G10" s="95">
        <v>0.21858378158637493</v>
      </c>
      <c r="H10" s="95">
        <v>9.6841213128669779E-2</v>
      </c>
      <c r="I10" s="121">
        <v>7.4872514064876547</v>
      </c>
    </row>
    <row r="11" spans="2:11">
      <c r="B11" s="29"/>
      <c r="C11" s="120" t="str">
        <f>+IF(Índice!$D$2=1,"Subsídios","Subsidies")</f>
        <v>Subsídios</v>
      </c>
      <c r="D11" s="165">
        <v>2723262.7500000005</v>
      </c>
      <c r="E11" s="165">
        <v>2723262.7500000005</v>
      </c>
      <c r="F11" s="165">
        <v>0</v>
      </c>
      <c r="G11" s="95">
        <v>7.6446141710822797</v>
      </c>
      <c r="H11" s="95">
        <v>7.6446141710822797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120469.92</v>
      </c>
      <c r="E12" s="165">
        <v>113834.69</v>
      </c>
      <c r="F12" s="165">
        <v>1635.32</v>
      </c>
      <c r="G12" s="95">
        <v>4.0826922127635701</v>
      </c>
      <c r="H12" s="95">
        <v>5.6511028818895062</v>
      </c>
      <c r="I12" s="121">
        <v>162.53199999999998</v>
      </c>
    </row>
    <row r="13" spans="2:11">
      <c r="B13" s="29"/>
      <c r="C13" s="115" t="str">
        <f>+IF(Índice!$D$2=1,"Despesa de capital","Capital expenditure")</f>
        <v>Despesa de capital</v>
      </c>
      <c r="D13" s="163">
        <v>53879458.859999999</v>
      </c>
      <c r="E13" s="163">
        <v>37553833.530000001</v>
      </c>
      <c r="F13" s="163">
        <v>759898.17</v>
      </c>
      <c r="G13" s="92">
        <v>6.5624889734875014E-2</v>
      </c>
      <c r="H13" s="92">
        <v>9.3931069221245389E-2</v>
      </c>
      <c r="I13" s="117">
        <v>-0.15310358249080736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30097606.810000002</v>
      </c>
      <c r="E14" s="165">
        <v>20105079.229999997</v>
      </c>
      <c r="F14" s="165">
        <v>759898.17</v>
      </c>
      <c r="G14" s="95">
        <v>9.6645858211188429E-3</v>
      </c>
      <c r="H14" s="95">
        <v>6.5236115205675738E-3</v>
      </c>
      <c r="I14" s="121">
        <v>-0.15310358249080736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23781852.049999997</v>
      </c>
      <c r="E15" s="165">
        <v>17448754.300000001</v>
      </c>
      <c r="F15" s="165">
        <v>0</v>
      </c>
      <c r="G15" s="95">
        <v>0.14601040362156814</v>
      </c>
      <c r="H15" s="95">
        <v>0.21556167881361632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211803775.75000072</v>
      </c>
      <c r="E17" s="164">
        <v>181336954.14000073</v>
      </c>
      <c r="F17" s="164">
        <v>25256537.419999998</v>
      </c>
      <c r="G17" s="147">
        <v>0.27775514352513819</v>
      </c>
      <c r="H17" s="147">
        <v>0.29306180360417744</v>
      </c>
      <c r="I17" s="148">
        <v>0.53833645059817026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163093606.17999998</v>
      </c>
      <c r="E19" s="164">
        <v>132748091.72999999</v>
      </c>
      <c r="F19" s="164">
        <v>4461105.7299999986</v>
      </c>
      <c r="G19" s="147">
        <v>0.34536569584763943</v>
      </c>
      <c r="H19" s="147">
        <v>0.38691399879708865</v>
      </c>
      <c r="I19" s="148">
        <v>1.0209305319668851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2023 (valores acumulados)","Table XIV - Accounts payable of the Regional Gov., may (accumulated)")</f>
        <v>QUADRO XIV - Contas a pagar, do Governo Regional, no final de março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36" t="str">
        <f>+IF(Índice!$D$2=1,"março 2023","may 2023")</f>
        <v>março 2023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março","Change from period initial stock")</f>
        <v>Variação face ao stock inicial de março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Stock final do período</v>
      </c>
      <c r="E25" s="351"/>
      <c r="F25" s="351"/>
      <c r="G25" s="348" t="str">
        <f>+IF(Índice!$D$2=1,"Passivo","Liabilities")</f>
        <v>Passivo</v>
      </c>
      <c r="H25" s="348" t="str">
        <f>+IF(Índice!$D$2=1,"Contas a pagar","Accounts payable")</f>
        <v>Contas a pagar</v>
      </c>
      <c r="I25" s="337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51380011.370000012</v>
      </c>
      <c r="E27" s="162">
        <v>42116079.43</v>
      </c>
      <c r="F27" s="162">
        <v>1083883.5699999998</v>
      </c>
      <c r="G27" s="91">
        <v>3.4366902216410562</v>
      </c>
      <c r="H27" s="91">
        <v>4.8493267830755959</v>
      </c>
      <c r="I27" s="116">
        <v>-2.9183357243753982E-2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41528639.75</v>
      </c>
      <c r="E28" s="163">
        <v>34009848.700000003</v>
      </c>
      <c r="F28" s="163">
        <v>483284.46</v>
      </c>
      <c r="G28" s="92">
        <v>8.2771998130925617E-2</v>
      </c>
      <c r="H28" s="172">
        <v>0.10281895940664021</v>
      </c>
      <c r="I28" s="117">
        <v>766.11819047619053</v>
      </c>
    </row>
    <row r="29" spans="2:9" ht="20.100000000000001" customHeight="1">
      <c r="B29" s="29"/>
      <c r="C29" s="146" t="s">
        <v>26</v>
      </c>
      <c r="D29" s="164">
        <v>92908651.120000005</v>
      </c>
      <c r="E29" s="164">
        <v>76125928.129999995</v>
      </c>
      <c r="F29" s="164">
        <v>1567168.0299999998</v>
      </c>
      <c r="G29" s="147">
        <v>0.8606026062140868</v>
      </c>
      <c r="H29" s="147">
        <v>1.0012509328594255</v>
      </c>
      <c r="I29" s="148">
        <v>0.40289493884852989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2023 (valores acumulados)","Table XV - Accounts payable of the ASFs, may (accumulated)")</f>
        <v>QUADRO XV - Contas a pagar, dos Serviços e Fundos Autónomos, no final de março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0" t="str">
        <f>+IF(Índice!$D$2=1,"Serviços e Fundos Autónomos","Autonomous Services and Funds")</f>
        <v>Serviços e Fundos Autónomos</v>
      </c>
      <c r="D33" s="336" t="str">
        <f>+IF(Índice!$D$2=1,"março 2023","may 2023")</f>
        <v>março 2023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março","Change from period initial stock")</f>
        <v>Variação face ao stock inicial de março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Stock final do período</v>
      </c>
      <c r="E34" s="346"/>
      <c r="F34" s="347"/>
      <c r="G34" s="350" t="str">
        <f>+IF(Índice!$D$2=1,"Passivo","Liabilities")</f>
        <v>Passivo</v>
      </c>
      <c r="H34" s="350" t="str">
        <f>+IF(Índice!$D$2=1,"Contas a pagar","Accounts payable")</f>
        <v>Contas a pagar</v>
      </c>
      <c r="I34" s="337" t="str">
        <f>+IF(Índice!$D$2=1,"Pagamentos em atraso","Late payments")</f>
        <v>Pagamentos em atraso</v>
      </c>
    </row>
    <row r="35" spans="2:9" ht="22.5">
      <c r="C35" s="342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Despesa corrente</v>
      </c>
      <c r="D36" s="162">
        <v>51792237.289999999</v>
      </c>
      <c r="E36" s="162">
        <v>51254943.360000007</v>
      </c>
      <c r="F36" s="162">
        <v>2811307.71</v>
      </c>
      <c r="G36" s="91">
        <v>-3.1936775341784629E-2</v>
      </c>
      <c r="H36" s="91">
        <v>-3.0307143594220598E-2</v>
      </c>
      <c r="I36" s="116">
        <v>1.5783404442097977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276941.03999999998</v>
      </c>
      <c r="E37" s="163">
        <v>276941.03999999998</v>
      </c>
      <c r="F37" s="163">
        <v>82629.990000000005</v>
      </c>
      <c r="G37" s="92">
        <v>-0.38333312958953791</v>
      </c>
      <c r="H37" s="92">
        <v>-0.38333312958953791</v>
      </c>
      <c r="I37" s="117">
        <v>0</v>
      </c>
    </row>
    <row r="38" spans="2:9" ht="20.100000000000001" customHeight="1">
      <c r="C38" s="146" t="s">
        <v>26</v>
      </c>
      <c r="D38" s="164">
        <v>52069178.329999998</v>
      </c>
      <c r="E38" s="164">
        <v>51531884.400000006</v>
      </c>
      <c r="F38" s="164">
        <v>2893937.7</v>
      </c>
      <c r="G38" s="147">
        <v>-3.4861888651354422E-2</v>
      </c>
      <c r="H38" s="147">
        <v>-3.3281325045112498E-2</v>
      </c>
      <c r="I38" s="148">
        <v>1.6541230575337771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março de 2023 (valores acumulados)","Table XVI - Accounts payable of the RPEs, may (accumulated)")</f>
        <v>QUADRO XVI - Contas a pagar, das Entidades Públicas Reclassseicadas, no final de março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0" t="str">
        <f>+IF(Índice!$D$2=1,"Entidades Públicas Reclassseicadas","Reclassseied Public Entities")</f>
        <v>Entidades Públicas Reclassseicadas</v>
      </c>
      <c r="D42" s="336" t="str">
        <f>+IF(Índice!$D$2=1,"março 2023","may 2023")</f>
        <v>março 2023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março","Change from period initial stock")</f>
        <v>Variação face ao stock inicial de março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Stock final do período</v>
      </c>
      <c r="E43" s="346"/>
      <c r="F43" s="347"/>
      <c r="G43" s="348" t="str">
        <f>+IF(Índice!$D$2=1,"Passivo","Liabilities")</f>
        <v>Passivo</v>
      </c>
      <c r="H43" s="348" t="str">
        <f>+IF(Índice!$D$2=1,"Contas a pagar","Accounts payable")</f>
        <v>Contas a pagar</v>
      </c>
      <c r="I43" s="337" t="str">
        <f>+IF(Índice!$D$2=1,"Pagamentos em atraso","Late payments")</f>
        <v>Pagamentos em atraso</v>
      </c>
    </row>
    <row r="44" spans="2:9" ht="22.5">
      <c r="C44" s="342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Despesa corrente</v>
      </c>
      <c r="D45" s="162">
        <v>54752068.230000734</v>
      </c>
      <c r="E45" s="162">
        <v>50412097.820000738</v>
      </c>
      <c r="F45" s="162">
        <v>20601447.969999999</v>
      </c>
      <c r="G45" s="91">
        <v>9.2431582473668117E-2</v>
      </c>
      <c r="H45" s="91">
        <v>9.9449318524002184E-2</v>
      </c>
      <c r="I45" s="116">
        <v>0.5473535497294526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12073878.07</v>
      </c>
      <c r="E46" s="163">
        <v>3267043.7899999996</v>
      </c>
      <c r="F46" s="163">
        <v>193983.72</v>
      </c>
      <c r="G46" s="92">
        <v>2.6840628969352354E-2</v>
      </c>
      <c r="H46" s="92">
        <v>7.4281371952894748E-2</v>
      </c>
      <c r="I46" s="117">
        <v>-0.78365581953792951</v>
      </c>
    </row>
    <row r="47" spans="2:9" ht="20.100000000000001" customHeight="1">
      <c r="C47" s="146" t="s">
        <v>26</v>
      </c>
      <c r="D47" s="164">
        <v>66825946.300000735</v>
      </c>
      <c r="E47" s="164">
        <v>53679141.610000737</v>
      </c>
      <c r="F47" s="164">
        <v>20795431.689999998</v>
      </c>
      <c r="G47" s="147">
        <v>7.996770028080924E-2</v>
      </c>
      <c r="H47" s="147">
        <v>9.7883881717976351E-2</v>
      </c>
      <c r="I47" s="148">
        <v>0.46337125112132438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7"/>
  <sheetViews>
    <sheetView showGridLines="0" zoomScale="85" zoomScaleNormal="85" workbookViewId="0">
      <selection activeCell="O19" sqref="O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93</v>
      </c>
      <c r="D2" s="174"/>
      <c r="E2" s="178" t="str">
        <f>+IF(Índice!$D$2=1,"índice","Index")</f>
        <v>índice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41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48</v>
      </c>
      <c r="D12" s="170"/>
      <c r="E12" s="169"/>
    </row>
    <row r="13" spans="2:5">
      <c r="B13" s="195"/>
      <c r="C13" s="170" t="s">
        <v>74</v>
      </c>
      <c r="D13" s="170"/>
      <c r="E13" s="169"/>
    </row>
    <row r="14" spans="2:5">
      <c r="B14" s="195"/>
      <c r="C14" s="170" t="s">
        <v>11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42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58</v>
      </c>
      <c r="D18" s="170"/>
      <c r="E18" s="169"/>
    </row>
    <row r="19" spans="2:5">
      <c r="B19" s="195"/>
      <c r="C19" s="170" t="s">
        <v>8</v>
      </c>
      <c r="D19" s="170"/>
      <c r="E19" s="169"/>
    </row>
    <row r="20" spans="2:5">
      <c r="B20" s="195"/>
      <c r="C20" s="170" t="s">
        <v>56</v>
      </c>
      <c r="D20" s="170"/>
      <c r="E20" s="169"/>
    </row>
    <row r="21" spans="2:5">
      <c r="B21" s="195"/>
      <c r="C21" s="170" t="s">
        <v>57</v>
      </c>
      <c r="D21" s="170"/>
      <c r="E21" s="169"/>
    </row>
    <row r="22" spans="2:5">
      <c r="B22" s="195"/>
      <c r="C22" s="170" t="s">
        <v>33</v>
      </c>
      <c r="D22" s="170"/>
      <c r="E22" s="169"/>
    </row>
    <row r="23" spans="2:5">
      <c r="B23" s="195"/>
      <c r="C23" s="170" t="s">
        <v>50</v>
      </c>
      <c r="D23" s="170"/>
      <c r="E23" s="169"/>
    </row>
    <row r="24" spans="2:5">
      <c r="B24" s="195"/>
      <c r="C24" s="170" t="s">
        <v>51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43</v>
      </c>
      <c r="D29" s="170"/>
      <c r="E29" s="169"/>
    </row>
    <row r="30" spans="2:5">
      <c r="B30" s="55"/>
      <c r="C30" s="170" t="s">
        <v>44</v>
      </c>
      <c r="D30" s="170"/>
      <c r="E30" s="169"/>
    </row>
    <row r="31" spans="2:5">
      <c r="B31" s="55"/>
      <c r="C31" s="170" t="s">
        <v>35</v>
      </c>
      <c r="D31" s="170"/>
      <c r="E31" s="169"/>
    </row>
    <row r="32" spans="2:5">
      <c r="B32" s="55"/>
      <c r="C32" s="170" t="s">
        <v>45</v>
      </c>
      <c r="D32" s="170"/>
      <c r="E32" s="169"/>
    </row>
    <row r="33" spans="2:5">
      <c r="B33" s="55"/>
      <c r="C33" s="170" t="s">
        <v>59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75</v>
      </c>
      <c r="D35" s="170"/>
      <c r="E35" s="169"/>
    </row>
    <row r="36" spans="2:5">
      <c r="B36" s="55"/>
      <c r="C36" s="170" t="s">
        <v>65</v>
      </c>
      <c r="D36" s="170"/>
      <c r="E36" s="169"/>
    </row>
    <row r="37" spans="2:5">
      <c r="B37" s="55"/>
      <c r="C37" s="170" t="s">
        <v>90</v>
      </c>
      <c r="D37" s="170"/>
      <c r="E37" s="169"/>
    </row>
    <row r="38" spans="2:5">
      <c r="B38" s="55"/>
      <c r="C38" s="171" t="s">
        <v>32</v>
      </c>
      <c r="D38" s="170"/>
      <c r="E38" s="169"/>
    </row>
    <row r="39" spans="2:5">
      <c r="B39" s="55"/>
      <c r="C39" s="170" t="s">
        <v>54</v>
      </c>
      <c r="D39" s="170"/>
      <c r="E39" s="169"/>
    </row>
    <row r="40" spans="2:5">
      <c r="B40" s="55"/>
      <c r="C40" s="170" t="s">
        <v>9</v>
      </c>
      <c r="D40" s="170"/>
      <c r="E40" s="169"/>
    </row>
    <row r="41" spans="2:5">
      <c r="B41" s="55"/>
      <c r="C41" s="170" t="s">
        <v>60</v>
      </c>
      <c r="D41" s="170"/>
      <c r="E41" s="169"/>
    </row>
    <row r="42" spans="2:5">
      <c r="B42" s="55"/>
      <c r="C42" s="171" t="s">
        <v>86</v>
      </c>
      <c r="D42" s="170"/>
      <c r="E42" s="169"/>
    </row>
    <row r="43" spans="2:5">
      <c r="B43" s="55"/>
      <c r="C43" s="170" t="s">
        <v>31</v>
      </c>
      <c r="D43" s="171"/>
      <c r="E43" s="169"/>
    </row>
    <row r="44" spans="2:5">
      <c r="B44" s="55"/>
      <c r="C44" s="170" t="s">
        <v>38</v>
      </c>
      <c r="D44" s="170"/>
      <c r="E44" s="169"/>
    </row>
    <row r="45" spans="2:5">
      <c r="B45" s="55"/>
      <c r="C45" s="170" t="s">
        <v>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39</v>
      </c>
      <c r="D47" s="170"/>
      <c r="E47" s="169"/>
    </row>
    <row r="48" spans="2:5">
      <c r="B48" s="55"/>
      <c r="C48" s="170" t="s">
        <v>40</v>
      </c>
      <c r="D48" s="170"/>
      <c r="E48" s="169"/>
    </row>
    <row r="49" spans="2:5">
      <c r="B49" s="55"/>
      <c r="C49" s="170" t="s">
        <v>82</v>
      </c>
      <c r="D49" s="170"/>
      <c r="E49" s="169"/>
    </row>
    <row r="50" spans="2:5">
      <c r="B50" s="55"/>
      <c r="C50" s="171" t="s">
        <v>19</v>
      </c>
      <c r="D50" s="171"/>
      <c r="E50" s="169"/>
    </row>
    <row r="51" spans="2:5">
      <c r="B51" s="55"/>
      <c r="C51" s="170" t="s">
        <v>98</v>
      </c>
      <c r="D51" s="170"/>
      <c r="E51" s="169"/>
    </row>
    <row r="52" spans="2:5">
      <c r="B52" s="55"/>
      <c r="C52" s="170" t="s">
        <v>99</v>
      </c>
      <c r="D52" s="170"/>
      <c r="E52" s="169"/>
    </row>
    <row r="53" spans="2:5">
      <c r="B53" s="55"/>
      <c r="C53" s="170" t="s">
        <v>87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95</v>
      </c>
    </row>
    <row r="56" spans="2:5">
      <c r="B56" s="55"/>
      <c r="C56" s="170" t="s">
        <v>100</v>
      </c>
    </row>
    <row r="57" spans="2:5">
      <c r="B57" s="55"/>
      <c r="C57" s="170" t="s">
        <v>92</v>
      </c>
    </row>
    <row r="58" spans="2:5">
      <c r="B58" s="55"/>
      <c r="C58" s="170" t="s">
        <v>83</v>
      </c>
    </row>
    <row r="59" spans="2:5">
      <c r="B59" s="55"/>
      <c r="C59" s="171" t="s">
        <v>16</v>
      </c>
    </row>
    <row r="60" spans="2:5">
      <c r="B60" s="55"/>
      <c r="C60" s="170" t="s">
        <v>101</v>
      </c>
    </row>
    <row r="61" spans="2:5">
      <c r="B61" s="55"/>
      <c r="C61" s="170" t="s">
        <v>94</v>
      </c>
    </row>
    <row r="62" spans="2:5">
      <c r="B62" s="55"/>
      <c r="C62" s="171" t="s">
        <v>36</v>
      </c>
    </row>
    <row r="63" spans="2:5">
      <c r="B63" s="55"/>
      <c r="C63" s="170" t="s">
        <v>84</v>
      </c>
    </row>
    <row r="64" spans="2:5">
      <c r="B64" s="55"/>
      <c r="C64" s="170" t="s">
        <v>96</v>
      </c>
    </row>
    <row r="65" spans="2:3">
      <c r="B65" s="55"/>
      <c r="C65" s="170" t="s">
        <v>91</v>
      </c>
    </row>
    <row r="66" spans="2:3">
      <c r="B66" s="55"/>
      <c r="C66" s="171" t="s">
        <v>14</v>
      </c>
    </row>
    <row r="67" spans="2:3">
      <c r="B67" s="55"/>
      <c r="C67" s="170" t="s">
        <v>61</v>
      </c>
    </row>
    <row r="68" spans="2:3">
      <c r="B68" s="55"/>
      <c r="C68" s="171" t="s">
        <v>17</v>
      </c>
    </row>
    <row r="69" spans="2:3">
      <c r="B69" s="55"/>
      <c r="C69" s="170" t="s">
        <v>46</v>
      </c>
    </row>
    <row r="70" spans="2:3">
      <c r="B70" s="55"/>
      <c r="C70" s="170" t="s">
        <v>12</v>
      </c>
    </row>
    <row r="71" spans="2:3">
      <c r="B71" s="55"/>
      <c r="C71" s="170" t="s">
        <v>3</v>
      </c>
    </row>
    <row r="72" spans="2:3">
      <c r="B72" s="55"/>
      <c r="C72" s="170" t="s">
        <v>37</v>
      </c>
    </row>
    <row r="73" spans="2:3">
      <c r="B73" s="55"/>
      <c r="C73" s="275"/>
    </row>
    <row r="74" spans="2:3" ht="13.5" customHeight="1">
      <c r="B74" s="55"/>
      <c r="C74" s="170"/>
    </row>
    <row r="75" spans="2:3">
      <c r="B75" s="55"/>
      <c r="C75" s="275"/>
    </row>
    <row r="76" spans="2:3" ht="30.75" customHeight="1">
      <c r="B76" s="16"/>
      <c r="C76" s="321" t="s">
        <v>53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68</v>
      </c>
    </row>
    <row r="81" spans="2:3">
      <c r="B81" s="55"/>
      <c r="C81" s="170" t="s">
        <v>88</v>
      </c>
    </row>
    <row r="82" spans="2:3">
      <c r="B82" s="55"/>
      <c r="C82" s="170" t="s">
        <v>69</v>
      </c>
    </row>
    <row r="83" spans="2:3">
      <c r="B83" s="55"/>
      <c r="C83" s="170" t="s">
        <v>77</v>
      </c>
    </row>
    <row r="84" spans="2:3">
      <c r="B84" s="55"/>
      <c r="C84" s="170" t="s">
        <v>97</v>
      </c>
    </row>
    <row r="85" spans="2:3">
      <c r="B85" s="55"/>
      <c r="C85" s="171" t="s">
        <v>32</v>
      </c>
    </row>
    <row r="86" spans="2:3">
      <c r="B86" s="55"/>
      <c r="C86" s="170" t="s">
        <v>76</v>
      </c>
    </row>
    <row r="87" spans="2:3">
      <c r="B87" s="55"/>
      <c r="C87" s="170" t="s">
        <v>67</v>
      </c>
    </row>
    <row r="88" spans="2:3">
      <c r="B88" s="55"/>
      <c r="C88" s="171" t="s">
        <v>86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89</v>
      </c>
    </row>
    <row r="92" spans="2:3">
      <c r="B92" s="55"/>
      <c r="C92" s="170" t="s">
        <v>73</v>
      </c>
    </row>
    <row r="93" spans="2:3">
      <c r="B93" s="55"/>
      <c r="C93" s="171" t="s">
        <v>19</v>
      </c>
    </row>
    <row r="94" spans="2:3">
      <c r="B94" s="55"/>
      <c r="C94" s="170" t="s">
        <v>70</v>
      </c>
    </row>
    <row r="95" spans="2:3">
      <c r="B95" s="55"/>
      <c r="C95" s="171" t="s">
        <v>16</v>
      </c>
    </row>
    <row r="96" spans="2:3">
      <c r="B96" s="55"/>
      <c r="C96" s="170" t="s">
        <v>72</v>
      </c>
    </row>
    <row r="97" spans="2:3">
      <c r="B97" s="55"/>
      <c r="C97" s="171" t="s">
        <v>15</v>
      </c>
    </row>
    <row r="98" spans="2:3">
      <c r="B98" s="55"/>
      <c r="C98" s="170" t="s">
        <v>71</v>
      </c>
    </row>
    <row r="99" spans="2:3">
      <c r="B99" s="55"/>
      <c r="C99" s="171" t="s">
        <v>14</v>
      </c>
    </row>
    <row r="100" spans="2:3">
      <c r="B100" s="55"/>
      <c r="C100" s="170" t="s">
        <v>102</v>
      </c>
    </row>
    <row r="101" spans="2:3">
      <c r="B101" s="55"/>
      <c r="C101" s="171" t="s">
        <v>17</v>
      </c>
    </row>
    <row r="102" spans="2:3">
      <c r="B102" s="55"/>
      <c r="C102" s="170" t="s">
        <v>80</v>
      </c>
    </row>
    <row r="103" spans="2:3">
      <c r="B103" s="55"/>
      <c r="C103" s="170" t="s">
        <v>79</v>
      </c>
    </row>
    <row r="104" spans="2:3">
      <c r="B104" s="55"/>
      <c r="C104" s="170" t="s">
        <v>85</v>
      </c>
    </row>
    <row r="105" spans="2:3">
      <c r="B105" s="55"/>
      <c r="C105" s="170" t="s">
        <v>78</v>
      </c>
    </row>
    <row r="106" spans="2:3">
      <c r="C106" s="170" t="s">
        <v>47</v>
      </c>
    </row>
    <row r="107" spans="2:3">
      <c r="C107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U15" sqref="U14:U1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6" sqref="D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27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(janeiro-maio)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(janeiro-maio)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(maio)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(janeiro-maio)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(janeiro-maio)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(janeiro-maio)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(janeiro-maio)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(janeiro-maio)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(janeiro-maio)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(janeiro-maio)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(janeiro-maio)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(maio)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maio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março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março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março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Índice!B43" display="Índice!B43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Índice!B32" display="Índice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3" sqref="I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QUADRO I - Execução orçamental consolidada (janeiro-maio)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475296.44339999999</v>
      </c>
      <c r="E5" s="57">
        <v>182355.52803999992</v>
      </c>
      <c r="F5" s="57">
        <v>127219.67739000001</v>
      </c>
      <c r="G5" s="57">
        <v>523847.6765099999</v>
      </c>
      <c r="H5" s="57">
        <v>14.443822037890207</v>
      </c>
    </row>
    <row r="6" spans="1:10" ht="11.25" customHeight="1">
      <c r="C6" s="68" t="str">
        <f>+IF(Índice!$D$2=1,"Impostos diretos","Direct taxes")</f>
        <v>Impostos diretos</v>
      </c>
      <c r="D6" s="56">
        <v>99936.74818000001</v>
      </c>
      <c r="E6" s="56">
        <v>0</v>
      </c>
      <c r="F6" s="56">
        <v>0</v>
      </c>
      <c r="G6" s="56">
        <v>99936.74818000001</v>
      </c>
      <c r="H6" s="56">
        <v>24.13859556290636</v>
      </c>
    </row>
    <row r="7" spans="1:10">
      <c r="C7" s="68" t="str">
        <f>+IF(Índice!$D$2=1,"Impostos indiretos","Indirect taxes")</f>
        <v>Impostos indiretos</v>
      </c>
      <c r="D7" s="56">
        <v>265846.53366999998</v>
      </c>
      <c r="E7" s="56">
        <v>0</v>
      </c>
      <c r="F7" s="56">
        <v>0</v>
      </c>
      <c r="G7" s="56">
        <v>265846.53366999998</v>
      </c>
      <c r="H7" s="56">
        <v>12.965420023770768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109513.16154999999</v>
      </c>
      <c r="E9" s="56">
        <v>182355.52803999992</v>
      </c>
      <c r="F9" s="56">
        <v>127219.67739000001</v>
      </c>
      <c r="G9" s="56">
        <v>145857.57038999989</v>
      </c>
      <c r="H9" s="56">
        <v>5.5153414087813379</v>
      </c>
    </row>
    <row r="10" spans="1:10">
      <c r="C10" s="69" t="str">
        <f>+IF(Índice!$D$2=1,"Transferências correntes","Current transfers")</f>
        <v>Transferências correntes</v>
      </c>
      <c r="D10" s="56">
        <v>90893.097429999994</v>
      </c>
      <c r="E10" s="56">
        <v>178591.52650999994</v>
      </c>
      <c r="F10" s="56">
        <v>109372.77491000001</v>
      </c>
      <c r="G10" s="56">
        <v>105626.60225999984</v>
      </c>
      <c r="H10" s="56">
        <v>1.9089862082968478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90621.650099999999</v>
      </c>
      <c r="E11" s="56">
        <v>571.60626000000002</v>
      </c>
      <c r="F11" s="56">
        <v>442.19111000000004</v>
      </c>
      <c r="G11" s="56">
        <v>91635.447469999999</v>
      </c>
      <c r="H11" s="56">
        <v>-2.2533198064976445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165637.31513999999</v>
      </c>
      <c r="F12" s="56">
        <v>107593.48145000002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12206.824270000057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30949.042610000008</v>
      </c>
      <c r="E14" s="57">
        <v>13911.440399999999</v>
      </c>
      <c r="F14" s="57">
        <v>7879.0868899999996</v>
      </c>
      <c r="G14" s="57">
        <v>40162.627220000002</v>
      </c>
      <c r="H14" s="57">
        <v>5.1098785564140492</v>
      </c>
    </row>
    <row r="15" spans="1:10">
      <c r="C15" s="68" t="str">
        <f>+IF(Índice!$D$2=1,"Venda de bens de investimento","Sale of investment goods")</f>
        <v>Venda de bens de investimento</v>
      </c>
      <c r="D15" s="56">
        <v>385.03622999999999</v>
      </c>
      <c r="E15" s="56">
        <v>0</v>
      </c>
      <c r="F15" s="56">
        <v>11.21618</v>
      </c>
      <c r="G15" s="56">
        <v>396.25241</v>
      </c>
      <c r="H15" s="56">
        <v>-76.990340699586824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28798.289820000005</v>
      </c>
      <c r="E16" s="56">
        <v>13889.8598</v>
      </c>
      <c r="F16" s="56">
        <v>7840.7649499999998</v>
      </c>
      <c r="G16" s="56">
        <v>37887.627840000008</v>
      </c>
      <c r="H16" s="56">
        <v>26.00643440710688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22654.4905</v>
      </c>
      <c r="E17" s="56">
        <v>0</v>
      </c>
      <c r="F17" s="56">
        <v>0</v>
      </c>
      <c r="G17" s="56">
        <v>22654.4905</v>
      </c>
      <c r="H17" s="56">
        <v>-5.3043433281215631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10123.108710000002</v>
      </c>
      <c r="F18" s="56">
        <v>2518.1780199999998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64.344050000001673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506245.48600999994</v>
      </c>
      <c r="E20" s="57">
        <v>196266.96843999991</v>
      </c>
      <c r="F20" s="57">
        <v>135098.76428</v>
      </c>
      <c r="G20" s="57">
        <v>564010.30372999993</v>
      </c>
      <c r="H20" s="57">
        <v>13.724685338318077</v>
      </c>
    </row>
    <row r="21" spans="3:8" ht="20.25" customHeight="1">
      <c r="C21" s="220" t="str">
        <f>+IF(Índice!$D$2=1,"Despesa corrente","Current expenditure")</f>
        <v>Despesa corrente</v>
      </c>
      <c r="D21" s="220">
        <v>450775.17497000028</v>
      </c>
      <c r="E21" s="220">
        <v>177627.74690999993</v>
      </c>
      <c r="F21" s="220">
        <v>127695.91321999996</v>
      </c>
      <c r="G21" s="220">
        <v>495074.84386000014</v>
      </c>
      <c r="H21" s="220">
        <v>1.5230124409155499</v>
      </c>
    </row>
    <row r="22" spans="3:8" ht="10.5" customHeight="1">
      <c r="C22" s="68" t="str">
        <f>+IF(Índice!$D$2=1,"Consumo público","Public consumption")</f>
        <v>Consumo público</v>
      </c>
      <c r="D22" s="56">
        <v>222019.65566999995</v>
      </c>
      <c r="E22" s="56">
        <v>57507.818149999926</v>
      </c>
      <c r="F22" s="56">
        <v>120170.11052999996</v>
      </c>
      <c r="G22" s="56">
        <v>399697.58434999979</v>
      </c>
      <c r="H22" s="56">
        <v>3.5566953327482498</v>
      </c>
    </row>
    <row r="23" spans="3:8">
      <c r="C23" s="69" t="str">
        <f>+IF(Índice!$D$2=1,"Despesas com o pessoal","Compensation of employees")</f>
        <v>Despesas com o pessoal</v>
      </c>
      <c r="D23" s="56">
        <v>156317.85823000004</v>
      </c>
      <c r="E23" s="56">
        <v>18610.800070000005</v>
      </c>
      <c r="F23" s="56">
        <v>90159.074959999984</v>
      </c>
      <c r="G23" s="56">
        <v>265087.73326000001</v>
      </c>
      <c r="H23" s="56">
        <v>8.0434784100335435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65701.797439999908</v>
      </c>
      <c r="E24" s="56">
        <v>38897.018079999922</v>
      </c>
      <c r="F24" s="56">
        <v>30011.035569999975</v>
      </c>
      <c r="G24" s="56">
        <v>134609.85108999981</v>
      </c>
      <c r="H24" s="56">
        <v>-4.2719816148434013</v>
      </c>
    </row>
    <row r="25" spans="3:8">
      <c r="C25" s="68" t="str">
        <f>+IF(Índice!$D$2=1,"Subsídios","Subsidies")</f>
        <v>Subsídios</v>
      </c>
      <c r="D25" s="56">
        <v>8262.5481200000013</v>
      </c>
      <c r="E25" s="56">
        <v>2132.9350700000005</v>
      </c>
      <c r="F25" s="56">
        <v>0.80500000000000005</v>
      </c>
      <c r="G25" s="56">
        <v>10396.269270000001</v>
      </c>
      <c r="H25" s="56">
        <v>-16.946426745477329</v>
      </c>
    </row>
    <row r="26" spans="3:8">
      <c r="C26" s="68" t="str">
        <f>+IF(Índice!$D$2=1,"Juros e outros encargos","Interests and other charges")</f>
        <v>Juros e outros encargos</v>
      </c>
      <c r="D26" s="56">
        <v>38659.858309999996</v>
      </c>
      <c r="E26" s="56">
        <v>133.59272000000001</v>
      </c>
      <c r="F26" s="56">
        <v>2083.23288</v>
      </c>
      <c r="G26" s="56">
        <v>40876.683909999992</v>
      </c>
      <c r="H26" s="56">
        <v>16.021566075063308</v>
      </c>
    </row>
    <row r="27" spans="3:8">
      <c r="C27" s="68" t="str">
        <f>+IF(Índice!$D$2=1,"Transferências correntes","Current transfers")</f>
        <v>Transferências correntes</v>
      </c>
      <c r="D27" s="56">
        <v>181833.11287000033</v>
      </c>
      <c r="E27" s="56">
        <v>117853.40097000002</v>
      </c>
      <c r="F27" s="56">
        <v>5441.7648100000006</v>
      </c>
      <c r="G27" s="56">
        <v>44104.306330000371</v>
      </c>
      <c r="H27" s="56">
        <v>-18.21718585263168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734.02234999999985</v>
      </c>
      <c r="F28" s="56">
        <v>0</v>
      </c>
      <c r="G28" s="56">
        <v>734.02234999999985</v>
      </c>
      <c r="H28" s="56">
        <v>-18.040035821443379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155665.97751</v>
      </c>
      <c r="E29" s="56">
        <v>105306.50584999999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43945.308409999983</v>
      </c>
      <c r="E31" s="57">
        <v>14414.931979999998</v>
      </c>
      <c r="F31" s="57">
        <v>7916.4081500000038</v>
      </c>
      <c r="G31" s="57">
        <v>53699.70585999998</v>
      </c>
      <c r="H31" s="57">
        <v>-23.184954761589751</v>
      </c>
    </row>
    <row r="32" spans="3:8">
      <c r="C32" s="68" t="str">
        <f>+IF(Índice!$D$2=1,"Investimento","Investment")</f>
        <v>Investimento</v>
      </c>
      <c r="D32" s="56">
        <v>27914.775979999984</v>
      </c>
      <c r="E32" s="56">
        <v>1789.3622499999992</v>
      </c>
      <c r="F32" s="56">
        <v>7916.4081500000038</v>
      </c>
      <c r="G32" s="56">
        <v>37620.546379999985</v>
      </c>
      <c r="H32" s="56">
        <v>13.399353449924467</v>
      </c>
    </row>
    <row r="33" spans="3:8">
      <c r="C33" s="68" t="str">
        <f>+IF(Índice!$D$2=1,"Transferências capital","Capital transfers")</f>
        <v>Transferências capital</v>
      </c>
      <c r="D33" s="56">
        <v>16030.532430000001</v>
      </c>
      <c r="E33" s="56">
        <v>12617.314119999997</v>
      </c>
      <c r="F33" s="56">
        <v>0</v>
      </c>
      <c r="G33" s="56">
        <v>16070.903869999998</v>
      </c>
      <c r="H33" s="56">
        <v>-56.248842616250229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3159.0760599999999</v>
      </c>
      <c r="E34" s="56">
        <v>0</v>
      </c>
      <c r="F34" s="56">
        <v>0</v>
      </c>
      <c r="G34" s="56">
        <v>3159.0760599999999</v>
      </c>
      <c r="H34" s="56">
        <v>50.889592859910152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12568.68707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494720.48338000028</v>
      </c>
      <c r="E38" s="86">
        <v>192042.67888999995</v>
      </c>
      <c r="F38" s="86">
        <v>135612.32136999993</v>
      </c>
      <c r="G38" s="86">
        <v>548774.54972000013</v>
      </c>
      <c r="H38" s="86">
        <v>-1.5749373183413296</v>
      </c>
    </row>
    <row r="39" spans="3:8" ht="17.25" customHeight="1">
      <c r="C39" s="138" t="str">
        <f>+IF(Índice!$D$2=1,"Saldo global","Overall balance")</f>
        <v>Saldo global</v>
      </c>
      <c r="D39" s="139">
        <v>11525.002629999653</v>
      </c>
      <c r="E39" s="139">
        <v>4224.2895499999577</v>
      </c>
      <c r="F39" s="139">
        <v>-513.5570899999293</v>
      </c>
      <c r="G39" s="139">
        <v>15235.7540099998</v>
      </c>
      <c r="H39" s="139">
        <v>124.72851031626892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24521.268429999705</v>
      </c>
      <c r="E41" s="19">
        <v>4727.7811299999885</v>
      </c>
      <c r="F41" s="19">
        <v>-476.23582999994687</v>
      </c>
      <c r="G41" s="19">
        <v>28772.832649999764</v>
      </c>
      <c r="H41" s="19">
        <v>196.18376875919674</v>
      </c>
    </row>
    <row r="42" spans="3:8">
      <c r="C42" s="68" t="str">
        <f>+IF(Índice!$D$2=1,"Despesa corrente primária","Primary current expenditure")</f>
        <v>Despesa corrente primária</v>
      </c>
      <c r="D42" s="19">
        <v>412115.3166600003</v>
      </c>
      <c r="E42" s="19">
        <v>177494.15418999994</v>
      </c>
      <c r="F42" s="19">
        <v>125612.68033999996</v>
      </c>
      <c r="G42" s="19">
        <v>454198.15995000012</v>
      </c>
      <c r="H42" s="19">
        <v>0.39393502785582957</v>
      </c>
    </row>
    <row r="43" spans="3:8">
      <c r="C43" s="68" t="str">
        <f>+IF(Índice!$D$2=1,"Saldo corrente primário","Primary current balance")</f>
        <v>Saldo corrente primário</v>
      </c>
      <c r="D43" s="19">
        <v>63181.126739999687</v>
      </c>
      <c r="E43" s="19">
        <v>4861.3738499999745</v>
      </c>
      <c r="F43" s="19">
        <v>1606.9970500000491</v>
      </c>
      <c r="G43" s="19">
        <v>69649.516559999785</v>
      </c>
      <c r="H43" s="19">
        <v>1209.8086412710466</v>
      </c>
    </row>
    <row r="44" spans="3:8">
      <c r="C44" s="68" t="str">
        <f>+IF(Índice!$D$2=1,"Saldo de capital","Capital balance")</f>
        <v>Saldo de capital</v>
      </c>
      <c r="D44" s="19">
        <v>-12996.265799999976</v>
      </c>
      <c r="E44" s="19">
        <v>-503.49157999999807</v>
      </c>
      <c r="F44" s="19">
        <v>-37.321260000004258</v>
      </c>
      <c r="G44" s="19">
        <v>-13537.078639999978</v>
      </c>
      <c r="H44" s="19">
        <v>57.293131109290904</v>
      </c>
    </row>
    <row r="45" spans="3:8">
      <c r="C45" s="68" t="str">
        <f t="array" ref="C45">+IF(Índice!$D$2=1,"Despesa primária","Primary expenditure")</f>
        <v>Despesa primária</v>
      </c>
      <c r="D45" s="19">
        <v>456060.6250700003</v>
      </c>
      <c r="E45" s="19">
        <v>191909.08616999997</v>
      </c>
      <c r="F45" s="19">
        <v>133529.08848999994</v>
      </c>
      <c r="G45" s="19">
        <v>507897.8658100001</v>
      </c>
      <c r="H45" s="19">
        <v>-2.7618630696387481</v>
      </c>
    </row>
    <row r="46" spans="3:8">
      <c r="C46" s="221" t="str">
        <f>+IF(Índice!$D$2=1,"Saldo primário","Primary balance")</f>
        <v>Saldo primário</v>
      </c>
      <c r="D46" s="132">
        <v>50184.860939999635</v>
      </c>
      <c r="E46" s="132">
        <v>4357.8822699999437</v>
      </c>
      <c r="F46" s="132">
        <v>1569.6757900000666</v>
      </c>
      <c r="G46" s="132">
        <v>56112.437919999822</v>
      </c>
      <c r="H46" s="132">
        <v>312.70722773215437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QUADRO II - Execução orçamental do Gov. Regional (janeiro-maio)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426278.89715000009</v>
      </c>
      <c r="E5" s="225">
        <v>475296.44339999999</v>
      </c>
      <c r="F5" s="225">
        <v>11.498938037449102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315838.60738000006</v>
      </c>
      <c r="E6" s="231">
        <v>365783.28184999997</v>
      </c>
      <c r="F6" s="231">
        <v>15.81335318196524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80504.171750000009</v>
      </c>
      <c r="E7" s="231">
        <v>99936.74818000001</v>
      </c>
      <c r="F7" s="231">
        <v>24.138595562906339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235334.43563000002</v>
      </c>
      <c r="E8" s="231">
        <v>265846.53366999998</v>
      </c>
      <c r="F8" s="231">
        <v>12.965420023770768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110440.28977</v>
      </c>
      <c r="E9" s="231">
        <v>109513.16155</v>
      </c>
      <c r="F9" s="231">
        <v>-0.83948369017394775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34380.356150000007</v>
      </c>
      <c r="E10" s="232">
        <v>30949.04261</v>
      </c>
      <c r="F10" s="232">
        <v>-9.9804479192400883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460659.2533000001</v>
      </c>
      <c r="E12" s="232">
        <v>506245.48600999999</v>
      </c>
      <c r="F12" s="232">
        <v>9.8958682330673398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444373.97137000022</v>
      </c>
      <c r="E14" s="232">
        <v>450775.17496999999</v>
      </c>
      <c r="F14" s="232">
        <v>1.4404992219199775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143907.84435000017</v>
      </c>
      <c r="E15" s="231">
        <v>156317.8582300001</v>
      </c>
      <c r="F15" s="231">
        <v>8.623584027718012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67198.219390000071</v>
      </c>
      <c r="E16" s="231">
        <v>65329.12928999991</v>
      </c>
      <c r="F16" s="231">
        <v>-2.7814577781480665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33805.549199999994</v>
      </c>
      <c r="E17" s="231">
        <v>38659.858309999996</v>
      </c>
      <c r="F17" s="231">
        <v>14.359503764547643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190058.32575999998</v>
      </c>
      <c r="E18" s="231">
        <v>181833.11287000001</v>
      </c>
      <c r="F18" s="231">
        <v>-4.3277308989801977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163413.61285999999</v>
      </c>
      <c r="E19" s="231">
        <v>155665.97751</v>
      </c>
      <c r="F19" s="231">
        <v>-4.7411199192062163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26644.712899999999</v>
      </c>
      <c r="E20" s="231">
        <v>26167.135360000007</v>
      </c>
      <c r="F20" s="231">
        <v>-1.7923913903384214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9065.3984500000006</v>
      </c>
      <c r="E21" s="231">
        <v>8262.5481200000013</v>
      </c>
      <c r="F21" s="231">
        <v>-8.8562056530455013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338.63421999999991</v>
      </c>
      <c r="E22" s="231">
        <v>372.66814999999986</v>
      </c>
      <c r="F22" s="231">
        <v>10.050351674440927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73117.84593000001</v>
      </c>
      <c r="E23" s="232">
        <v>43945.308409999983</v>
      </c>
      <c r="F23" s="232">
        <v>-39.897971759081365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28557.767649999991</v>
      </c>
      <c r="E24" s="231">
        <v>27914.775979999984</v>
      </c>
      <c r="F24" s="231">
        <v>-2.2515473824159637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44560.078280000016</v>
      </c>
      <c r="E25" s="231">
        <v>16030.532429999999</v>
      </c>
      <c r="F25" s="231">
        <v>-64.024900653742762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40270.784180000017</v>
      </c>
      <c r="E26" s="231">
        <v>15727.763129999999</v>
      </c>
      <c r="F26" s="231">
        <v>-60.9449792194238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4289.2941000000001</v>
      </c>
      <c r="E27" s="231">
        <v>302.76929999999999</v>
      </c>
      <c r="F27" s="231">
        <v>-92.941279078998107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517491.81730000023</v>
      </c>
      <c r="E29" s="235">
        <v>494720.48337999999</v>
      </c>
      <c r="F29" s="235">
        <v>-4.4003273402097527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-56832.564000000129</v>
      </c>
      <c r="E31" s="139">
        <v>11525.002630000014</v>
      </c>
      <c r="F31" s="139">
        <v>120.27887151105831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-18095.074220000126</v>
      </c>
      <c r="E33" s="19">
        <v>24521.268429999996</v>
      </c>
      <c r="F33" s="19">
        <v>235.51350014854941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-38737.489780000004</v>
      </c>
      <c r="E34" s="19">
        <v>-12996.265799999983</v>
      </c>
      <c r="F34" s="19">
        <v>66.450418254231082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-23027.014800000135</v>
      </c>
      <c r="E35" s="19">
        <v>50184.860940000013</v>
      </c>
      <c r="F35" s="19">
        <v>317.93906581412244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17292.575350000003</v>
      </c>
      <c r="E36" s="106">
        <v>11609.676239999999</v>
      </c>
      <c r="F36" s="106">
        <v>-32.863231733727872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3" sqref="I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QUADRO III - Execução orçamental do Gov. Regional (maio)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2023</v>
      </c>
      <c r="F3" s="293" t="s">
        <v>103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58401.747299999981</v>
      </c>
      <c r="E5" s="225">
        <v>77341.377860000037</v>
      </c>
      <c r="F5" s="225">
        <v>32.429903959397578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53935.724929999982</v>
      </c>
      <c r="E6" s="231">
        <v>70048.525600000037</v>
      </c>
      <c r="F6" s="231">
        <v>29.874078249456957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3202.6759000000061</v>
      </c>
      <c r="E7" s="231">
        <v>14627.359730000004</v>
      </c>
      <c r="F7" s="231">
        <v>356.72307116683191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50733.049029999973</v>
      </c>
      <c r="E8" s="231">
        <v>55421.165870000033</v>
      </c>
      <c r="F8" s="231">
        <v>9.2407551480452774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4466.0223699999951</v>
      </c>
      <c r="E9" s="231">
        <v>7292.8522599999887</v>
      </c>
      <c r="F9" s="231">
        <v>63.296366560743337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3242.8905599999944</v>
      </c>
      <c r="E10" s="232">
        <v>867.40957000000219</v>
      </c>
      <c r="F10" s="232">
        <v>-73.251962903120486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61644.637859999973</v>
      </c>
      <c r="E12" s="232">
        <v>78208.78743000004</v>
      </c>
      <c r="F12" s="232">
        <v>26.870381828860125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81640.927680000372</v>
      </c>
      <c r="E14" s="232">
        <v>95667.509160000336</v>
      </c>
      <c r="F14" s="232">
        <v>17.180820794906349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30120.345090000257</v>
      </c>
      <c r="E15" s="231">
        <v>34829.8623900003</v>
      </c>
      <c r="F15" s="231">
        <v>15.635668469029484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5080.2833800000699</v>
      </c>
      <c r="E16" s="231">
        <v>5176.6418899999035</v>
      </c>
      <c r="F16" s="231">
        <v>1.8967152576404578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12833.961039999991</v>
      </c>
      <c r="E17" s="231">
        <v>15413.872520000003</v>
      </c>
      <c r="F17" s="231">
        <v>20.102223093549409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31867.69429000005</v>
      </c>
      <c r="E18" s="231">
        <v>38477.500370000125</v>
      </c>
      <c r="F18" s="231">
        <v>20.741400428440173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1687.1475100000007</v>
      </c>
      <c r="E19" s="231">
        <v>1617.6424900000002</v>
      </c>
      <c r="F19" s="231">
        <v>-4.1196765302401133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51.496370000000056</v>
      </c>
      <c r="E20" s="231">
        <v>151.98949999999977</v>
      </c>
      <c r="F20" s="231">
        <v>195.14604621646069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11432.164859999984</v>
      </c>
      <c r="E21" s="232">
        <v>5573.1690300000064</v>
      </c>
      <c r="F21" s="232">
        <v>-51.250099187250406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9532.0816699999941</v>
      </c>
      <c r="E22" s="231">
        <v>4457.443020000007</v>
      </c>
      <c r="F22" s="231">
        <v>-53.237465075139148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1900.0831899999901</v>
      </c>
      <c r="E23" s="231">
        <v>1115.7260099999999</v>
      </c>
      <c r="F23" s="231">
        <v>-41.28014942335205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-31428.454680000388</v>
      </c>
      <c r="E25" s="300">
        <v>-23031.8907600003</v>
      </c>
      <c r="F25" s="300">
        <v>26.716438989739043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-23239.180380000391</v>
      </c>
      <c r="E27" s="287">
        <v>-18326.131300000299</v>
      </c>
      <c r="F27" s="287">
        <v>21.141232176278713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-23239.180380000391</v>
      </c>
      <c r="E29" s="19">
        <v>-18326.131300000299</v>
      </c>
      <c r="F29" s="19">
        <v>21.141232176278713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-8189.27429999999</v>
      </c>
      <c r="E30" s="19">
        <v>-4705.7594600000039</v>
      </c>
      <c r="F30" s="19">
        <v>42.537527897923631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-18594.493640000397</v>
      </c>
      <c r="E31" s="19">
        <v>-7618.0182400002977</v>
      </c>
      <c r="F31" s="19">
        <v>59.030784126261729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QUADRO IV - Execução orçamental da receita fiscal do Gov. Reg. (janeiro-maio)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315838.60738000006</v>
      </c>
      <c r="E5" s="33">
        <v>365783.28184999997</v>
      </c>
      <c r="F5" s="270">
        <v>0.1581335318196524</v>
      </c>
      <c r="G5" s="270">
        <v>0.34628033204197273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80504.171750000009</v>
      </c>
      <c r="E7" s="70">
        <v>99936.74818000001</v>
      </c>
      <c r="F7" s="271">
        <v>0.2413859556290634</v>
      </c>
      <c r="G7" s="271">
        <v>0.26366932461680426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73377.763550000003</v>
      </c>
      <c r="E8" s="70">
        <v>82791.932550000012</v>
      </c>
      <c r="F8" s="271">
        <v>0.1282973007699415</v>
      </c>
      <c r="G8" s="271">
        <v>0.34460463547305958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7126.4081999999999</v>
      </c>
      <c r="E9" s="70">
        <v>17144.815629999997</v>
      </c>
      <c r="F9" s="271">
        <v>1.40581442275507</v>
      </c>
      <c r="G9" s="271">
        <v>0.12354745421914082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235334.43563000002</v>
      </c>
      <c r="E11" s="70">
        <v>265846.53366999998</v>
      </c>
      <c r="F11" s="271">
        <v>0.12965420023770768</v>
      </c>
      <c r="G11" s="271">
        <v>0.3925102986463106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18610.831739999998</v>
      </c>
      <c r="E12" s="70">
        <v>11433.692779999999</v>
      </c>
      <c r="F12" s="271">
        <v>-0.38564310613664166</v>
      </c>
      <c r="G12" s="271">
        <v>0.22199620961478719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181684.41519</v>
      </c>
      <c r="E13" s="70">
        <v>213973.21044</v>
      </c>
      <c r="F13" s="271">
        <v>0.17771912475945362</v>
      </c>
      <c r="G13" s="271">
        <v>0.4182063073227168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1632.25503</v>
      </c>
      <c r="E14" s="70">
        <v>2529.4612299999999</v>
      </c>
      <c r="F14" s="271">
        <v>0.54967280450040934</v>
      </c>
      <c r="G14" s="271">
        <v>0.49413190662238715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9091.6079499999996</v>
      </c>
      <c r="E15" s="70">
        <v>11455.705840000001</v>
      </c>
      <c r="F15" s="271">
        <v>0.26003077816394415</v>
      </c>
      <c r="G15" s="271">
        <v>0.30548548906666667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3105.3363999999997</v>
      </c>
      <c r="E16" s="70">
        <v>3133.8850299999999</v>
      </c>
      <c r="F16" s="271">
        <v>9.1934097703554318E-3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21209.989320000001</v>
      </c>
      <c r="E17" s="70">
        <v>23320.57835</v>
      </c>
      <c r="F17" s="271">
        <v>9.9509198149846156E-2</v>
      </c>
      <c r="G17" s="271">
        <v>0.38552698727785889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11309.38068</v>
      </c>
      <c r="E18" s="70">
        <v>12801.282160000001</v>
      </c>
      <c r="F18" s="271">
        <v>0.13191716878346349</v>
      </c>
      <c r="G18" s="271">
        <v>0.37552667210265311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2112.5857700000001</v>
      </c>
      <c r="E19" s="70">
        <v>2017.91083</v>
      </c>
      <c r="F19" s="271">
        <v>-4.4814720114298656E-2</v>
      </c>
      <c r="G19" s="271">
        <v>0.26394287254736792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144820.64592000001</v>
      </c>
      <c r="E21" s="33">
        <v>140462.20415999999</v>
      </c>
      <c r="F21" s="270">
        <v>-3.0095444833243223E-2</v>
      </c>
      <c r="G21" s="270">
        <v>0.26450902977587881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460659.2533000001</v>
      </c>
      <c r="E23" s="139">
        <v>506245.48600999999</v>
      </c>
      <c r="F23" s="274">
        <v>9.8958682330673398E-2</v>
      </c>
      <c r="G23" s="274">
        <v>0.31892469249733013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QUADRO V - Execução orçamental da receita não fiscal do Gov. Reg. (janeiro-maio)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315838.60738000006</v>
      </c>
      <c r="E5" s="41">
        <v>365783.28184999997</v>
      </c>
      <c r="F5" s="276">
        <v>0.1581335318196524</v>
      </c>
      <c r="G5" s="42">
        <v>0.34628033204197273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144820.64592000001</v>
      </c>
      <c r="E7" s="41">
        <v>140462.20415999999</v>
      </c>
      <c r="F7" s="276">
        <v>-3.0095444833243223E-2</v>
      </c>
      <c r="G7" s="42">
        <v>0.26450902977587881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110440.28977</v>
      </c>
      <c r="E8" s="41">
        <v>109513.16155</v>
      </c>
      <c r="F8" s="276">
        <v>-8.3948369017394775E-3</v>
      </c>
      <c r="G8" s="42">
        <v>0.40512928944564086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7215.312640000001</v>
      </c>
      <c r="E10" s="71">
        <v>7964.9382599999999</v>
      </c>
      <c r="F10" s="278">
        <v>0.10389371291331861</v>
      </c>
      <c r="G10" s="43">
        <v>0.33066220383396761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5816.3211000000001</v>
      </c>
      <c r="E11" s="71">
        <v>4040.0738800000004</v>
      </c>
      <c r="F11" s="278">
        <v>-0.30539015805024927</v>
      </c>
      <c r="G11" s="43">
        <v>0.46646456804554465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93218.571599999996</v>
      </c>
      <c r="E12" s="71">
        <v>90893.097429999994</v>
      </c>
      <c r="F12" s="278">
        <v>-2.4946468606905858E-2</v>
      </c>
      <c r="G12" s="43">
        <v>0.46625828041280409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3503.9976899999997</v>
      </c>
      <c r="E13" s="47">
        <v>4236.9404800000002</v>
      </c>
      <c r="F13" s="278">
        <v>0.20917330855888805</v>
      </c>
      <c r="G13" s="43">
        <v>0.43309161636518484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686.08673999999996</v>
      </c>
      <c r="E14" s="71">
        <v>2378.1115</v>
      </c>
      <c r="F14" s="278">
        <v>2.4661965628427684</v>
      </c>
      <c r="G14" s="43">
        <v>7.2408140741428859E-2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34380.356150000007</v>
      </c>
      <c r="E17" s="41">
        <v>30949.04261</v>
      </c>
      <c r="F17" s="276">
        <v>-9.9804479192400875E-2</v>
      </c>
      <c r="G17" s="42">
        <v>0.1187090926552094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1679.0411799999999</v>
      </c>
      <c r="E18" s="71">
        <v>385.03622999999999</v>
      </c>
      <c r="F18" s="278">
        <v>-0.77068088943476654</v>
      </c>
      <c r="G18" s="43">
        <v>1.4183419669078542E-2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26468.480520000001</v>
      </c>
      <c r="E19" s="44">
        <v>28798.289819999998</v>
      </c>
      <c r="F19" s="278">
        <v>8.802202673627435E-2</v>
      </c>
      <c r="G19" s="43">
        <v>0.12818534206774246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2.4432</v>
      </c>
      <c r="F20" s="278">
        <v>0.77470436121684028</v>
      </c>
      <c r="G20" s="43">
        <v>1.1802898550724639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6231.4577700000009</v>
      </c>
      <c r="E21" s="47">
        <v>1763.2733600000001</v>
      </c>
      <c r="F21" s="278">
        <v>-0.71703677934095988</v>
      </c>
      <c r="G21" s="43">
        <v>0.19805384252499159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460659.2533000001</v>
      </c>
      <c r="E23" s="287">
        <v>506245.48600999999</v>
      </c>
      <c r="F23" s="288">
        <v>9.8958682330673398E-2</v>
      </c>
      <c r="G23" s="288">
        <v>0.31892469249733013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QUADRO VI - Execução orçamental das despesas do Governo Regional (janeiro-maio)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2022</v>
      </c>
      <c r="E3" s="328">
        <v>2023</v>
      </c>
      <c r="F3" s="153">
        <v>2022</v>
      </c>
      <c r="G3" s="153">
        <v>2023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444373.97137000022</v>
      </c>
      <c r="E5" s="253">
        <v>450775.17496999999</v>
      </c>
      <c r="F5" s="253">
        <v>34.927022649333175</v>
      </c>
      <c r="G5" s="253">
        <v>32.316758907477649</v>
      </c>
      <c r="H5" s="253">
        <v>1.4404992219199817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143907.84435000017</v>
      </c>
      <c r="E6" s="74">
        <v>156317.8582300001</v>
      </c>
      <c r="F6" s="74">
        <v>34.061838154381341</v>
      </c>
      <c r="G6" s="74">
        <v>35.220412002227327</v>
      </c>
      <c r="H6" s="254">
        <v>8.6235840277180209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119840.81272000009</v>
      </c>
      <c r="E7" s="75">
        <v>130097.2297400001</v>
      </c>
      <c r="F7" s="75">
        <v>35.312636518591816</v>
      </c>
      <c r="G7" s="75">
        <v>36.835595958681594</v>
      </c>
      <c r="H7" s="254">
        <v>8.5583673768663679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1344.9497999999999</v>
      </c>
      <c r="E8" s="75">
        <v>1901.1983600000005</v>
      </c>
      <c r="F8" s="75">
        <v>21.870994368943784</v>
      </c>
      <c r="G8" s="75">
        <v>25.025214913366646</v>
      </c>
      <c r="H8" s="254">
        <v>41.358313893946139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22722.081830000014</v>
      </c>
      <c r="E9" s="75">
        <v>24319.430129999982</v>
      </c>
      <c r="F9" s="75">
        <v>29.520857920696876</v>
      </c>
      <c r="G9" s="75">
        <v>29.283981247168221</v>
      </c>
      <c r="H9" s="254">
        <v>7.0299381542187138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67198.219390000071</v>
      </c>
      <c r="E10" s="75">
        <v>65329.12928999991</v>
      </c>
      <c r="F10" s="75">
        <v>35.540885437779856</v>
      </c>
      <c r="G10" s="75">
        <v>32.725396247815205</v>
      </c>
      <c r="H10" s="254">
        <v>-2.7814577781480696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33805.549199999994</v>
      </c>
      <c r="E11" s="75">
        <v>38659.858309999996</v>
      </c>
      <c r="F11" s="75">
        <v>33.462713328508293</v>
      </c>
      <c r="G11" s="75">
        <v>25.907066314941318</v>
      </c>
      <c r="H11" s="254">
        <v>14.359503764547634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190058.32575999998</v>
      </c>
      <c r="E12" s="74">
        <v>181833.11287000001</v>
      </c>
      <c r="F12" s="74">
        <v>36.772643936397337</v>
      </c>
      <c r="G12" s="74">
        <v>31.775126848833846</v>
      </c>
      <c r="H12" s="254">
        <v>-4.3277308989802012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163413.61285999999</v>
      </c>
      <c r="E13" s="74">
        <v>155665.97751</v>
      </c>
      <c r="F13" s="74">
        <v>40.10710878454281</v>
      </c>
      <c r="G13" s="74">
        <v>34.053604867713538</v>
      </c>
      <c r="H13" s="254">
        <v>-4.7411199192062199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51.478430000000003</v>
      </c>
      <c r="E14" s="75">
        <v>0</v>
      </c>
      <c r="F14" s="74">
        <v>29.495969105066845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163362.13443000001</v>
      </c>
      <c r="E15" s="75">
        <v>155665.97751</v>
      </c>
      <c r="F15" s="75">
        <v>40.111655982359373</v>
      </c>
      <c r="G15" s="75">
        <v>34.072761536280815</v>
      </c>
      <c r="H15" s="254">
        <v>-4.7111020842457103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26644.712899999999</v>
      </c>
      <c r="E18" s="75">
        <v>26167.135360000007</v>
      </c>
      <c r="F18" s="72">
        <v>24.354414727858718</v>
      </c>
      <c r="G18" s="72">
        <v>22.728449778780728</v>
      </c>
      <c r="H18" s="77">
        <v>-1.7923913903384232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9065.3984500000006</v>
      </c>
      <c r="E19" s="72">
        <v>8262.5481200000013</v>
      </c>
      <c r="F19" s="72">
        <v>25.235775574875071</v>
      </c>
      <c r="G19" s="72">
        <v>35.075791371044737</v>
      </c>
      <c r="H19" s="77">
        <v>-8.8562056530455013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338.63421999999991</v>
      </c>
      <c r="E20" s="72">
        <v>372.66814999999986</v>
      </c>
      <c r="F20" s="72">
        <v>4.8826990262984475</v>
      </c>
      <c r="G20" s="72">
        <v>5.8429299679026849</v>
      </c>
      <c r="H20" s="77">
        <v>10.05035167444092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410568.42217000021</v>
      </c>
      <c r="E22" s="78">
        <v>412115.31666000001</v>
      </c>
      <c r="F22" s="78">
        <v>35.05332263937504</v>
      </c>
      <c r="G22" s="78">
        <v>33.084627159101117</v>
      </c>
      <c r="H22" s="76">
        <v>0.37676898818080418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73117.84593000001</v>
      </c>
      <c r="E24" s="78">
        <v>43945.308409999983</v>
      </c>
      <c r="F24" s="78">
        <v>23.25712380295203</v>
      </c>
      <c r="G24" s="78">
        <v>13.6379855156269</v>
      </c>
      <c r="H24" s="76">
        <v>-39.897971759081365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28557.767649999991</v>
      </c>
      <c r="E25" s="72">
        <v>27914.775979999984</v>
      </c>
      <c r="F25" s="72">
        <v>16.077097447904112</v>
      </c>
      <c r="G25" s="72">
        <v>12.643704271371076</v>
      </c>
      <c r="H25" s="77">
        <v>-2.2515473824159602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44560.078280000016</v>
      </c>
      <c r="E26" s="59">
        <v>16030.532429999999</v>
      </c>
      <c r="F26" s="59">
        <v>32.819349016835012</v>
      </c>
      <c r="G26" s="59">
        <v>15.801844190415263</v>
      </c>
      <c r="H26" s="77">
        <v>-64.024900653742762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40270.784180000017</v>
      </c>
      <c r="E27" s="59">
        <v>15727.763129999999</v>
      </c>
      <c r="F27" s="59">
        <v>32.72334227808112</v>
      </c>
      <c r="G27" s="59">
        <v>17.964248676415963</v>
      </c>
      <c r="H27" s="77">
        <v>-60.9449792194238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2093.6341600000001</v>
      </c>
      <c r="E28" s="72">
        <v>2443.9483100000002</v>
      </c>
      <c r="F28" s="72">
        <v>38.444982392830582</v>
      </c>
      <c r="G28" s="72">
        <v>47.906446179968178</v>
      </c>
      <c r="H28" s="77">
        <v>16.732347832918435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38177.150020000016</v>
      </c>
      <c r="E29" s="72">
        <v>12568.68707</v>
      </c>
      <c r="F29" s="72">
        <v>33.607143151412814</v>
      </c>
      <c r="G29" s="72">
        <v>16.275199972465234</v>
      </c>
      <c r="H29" s="77">
        <v>-67.077984963739851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0</v>
      </c>
      <c r="E30" s="72">
        <v>715.12774999999999</v>
      </c>
      <c r="F30" s="72">
        <v>0</v>
      </c>
      <c r="G30" s="72">
        <v>13.692305379980715</v>
      </c>
      <c r="H30" s="77" t="s">
        <v>104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517491.81730000023</v>
      </c>
      <c r="E33" s="142">
        <v>494720.48337999999</v>
      </c>
      <c r="F33" s="143">
        <v>32.614720168927349</v>
      </c>
      <c r="G33" s="143">
        <v>28.811525036004777</v>
      </c>
      <c r="H33" s="141">
        <v>-4.4003273402097571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17292.575350000003</v>
      </c>
      <c r="E36" s="150">
        <v>11609.676239999999</v>
      </c>
      <c r="F36" s="150">
        <v>33.563319466442501</v>
      </c>
      <c r="G36" s="150">
        <v>11.312679377594295</v>
      </c>
      <c r="H36" s="128">
        <v>-32.863231733727865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105516.66495000001</v>
      </c>
      <c r="E37" s="150">
        <v>91819.74066000001</v>
      </c>
      <c r="F37" s="150">
        <v>21.040099537731489</v>
      </c>
      <c r="G37" s="150">
        <v>35.390203070691953</v>
      </c>
      <c r="H37" s="128">
        <v>-12.980816154955621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2023-06-27T09:26:48Z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