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Maio\"/>
    </mc:Choice>
  </mc:AlternateContent>
  <xr:revisionPtr revIDLastSave="0" documentId="13_ncr:1_{3CD83F2E-B968-46FC-963D-78806B703931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acumulado'!$C$1:$F$44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acumulado'!$C$1:$F$45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acumulado'!$C$1:$F$45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acumulado'!$C$1:$F$45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acumulado'!$C$1:$F$45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acumulado'!$C$1:$F$45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acumulado'!$C$1:$F$45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acumulado'!$C$1:$F$45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acumulado'!$C$1:$F$45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acumulado'!$C$1:$F$45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acumulado'!$C$1:$F$45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acumulado'!$C$1:$F$45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1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C2" i="10"/>
  <c r="C42" i="38"/>
  <c r="C20" i="38"/>
  <c r="G2" i="50"/>
  <c r="H2" i="10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4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3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4" i="51" l="1"/>
  <c r="D44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<sst xmlns="http://schemas.openxmlformats.org/spreadsheetml/2006/main" count="125" uniqueCount="103">
  <si>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</si>
  <si>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</si>
  <si>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</si>
  <si>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</si>
  <si>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</si>
  <si>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</si>
  <si>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</si>
  <si>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</si>
  <si>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</si>
  <si>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</si>
  <si>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</si>
  <si>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</si>
  <si>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</si>
  <si>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</si>
  <si>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</si>
  <si>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</si>
  <si>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</si>
  <si>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</si>
  <si>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</si>
  <si>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</si>
  <si>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</si>
  <si>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</si>
  <si>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</si>
  <si>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</si>
  <si>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</si>
  <si>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</si>
  <si>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</si>
  <si>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</si>
  <si>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</si>
  <si>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</si>
  <si>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</si>
  <si>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</si>
  <si>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</si>
  <si>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</si>
  <si>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</si>
  <si>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</si>
  <si>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</si>
  <si>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</si>
  <si>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</si>
  <si>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</si>
  <si>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</si>
  <si>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</si>
  <si>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</si>
  <si>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</si>
  <si>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</si>
  <si>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</si>
  <si>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</si>
  <si>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</si>
  <si>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</si>
  <si>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</si>
  <si>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</si>
  <si>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</si>
  <si>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</si>
  <si>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</si>
  <si>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</si>
  <si>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</si>
  <si>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</si>
  <si>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</si>
  <si>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</si>
  <si>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</si>
  <si>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</si>
  <si>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</si>
  <si>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</si>
  <si>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</si>
  <si>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</si>
  <si>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</si>
  <si>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</si>
  <si>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</si>
  <si>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</si>
  <si>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</si>
  <si>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</si>
  <si>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</si>
  <si>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</si>
  <si>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</si>
  <si>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</si>
  <si>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</si>
  <si>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</si>
  <si>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</si>
  <si>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</si>
  <si>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</si>
  <si>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</si>
  <si>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</si>
  <si>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</si>
  <si>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</si>
  <si>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</si>
  <si>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</si>
  <si>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</si>
  <si>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</si>
  <si>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</si>
  <si>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</si>
  <si>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</si>
  <si>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</si>
  <si>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</si>
  <si>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</si>
  <si>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</si>
  <si>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</si>
  <si>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da Cultura</t>
  </si>
  <si>
    <t>Direção Regional do Ambiente e Mar</t>
  </si>
  <si>
    <t>EHTM-Escola de Hotelaria e Turismo da Madeira</t>
  </si>
  <si>
    <t>Instituto de Desenvolvimento Empresarial</t>
  </si>
  <si>
    <t>Direção Regional de Informática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</si>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</sst>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S15" sqref="S1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E7" sqref="E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Educação, Ciência e Tecnologia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QUADRO VIII - Execução orçamental por classificação cruzada orgânica e económica (janeiro-maio)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+IF(Índice!$D$2=1,"Turismo, Ambiente e Cultura","Tourism, Enviroment and Culture")</f>
        <v>Turismo, Ambiente e Cultura</v>
      </c>
      <c r="G3" s="320" t="str">
        <f>+IF(Índice!$D$2=1,"Educação, Ciência e Tecnologia","Education, Science and Technology")</f>
        <v>Educação, Ciência e Tecnologia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5860</v>
      </c>
      <c r="E4" s="194">
        <v>905.59383000000003</v>
      </c>
      <c r="F4" s="194">
        <v>17668.987210000003</v>
      </c>
      <c r="G4" s="194">
        <v>182172.33003999997</v>
      </c>
      <c r="H4" s="194">
        <v>5477.1242399999983</v>
      </c>
      <c r="I4" s="194">
        <v>207623.11586000002</v>
      </c>
      <c r="J4" s="194">
        <v>83344.888679999989</v>
      </c>
      <c r="K4" s="194">
        <v>13256.195060000004</v>
      </c>
      <c r="L4" s="194">
        <v>10077.005790000001</v>
      </c>
      <c r="M4" s="194">
        <v>57546.095120000005</v>
      </c>
      <c r="N4" s="194">
        <v>583931.33582999988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696.44461999999999</v>
      </c>
      <c r="F5" s="196">
        <v>7507.5221800000018</v>
      </c>
      <c r="G5" s="196">
        <v>142931.08455999996</v>
      </c>
      <c r="H5" s="196">
        <v>1693.9894699999995</v>
      </c>
      <c r="I5" s="196">
        <v>2328.78836</v>
      </c>
      <c r="J5" s="196">
        <v>13252.193910000009</v>
      </c>
      <c r="K5" s="196">
        <v>9158.9313300000031</v>
      </c>
      <c r="L5" s="196">
        <v>3184.0191599999998</v>
      </c>
      <c r="M5" s="196">
        <v>6169.9496900000013</v>
      </c>
      <c r="N5" s="196">
        <v>186922.92327999996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539.52585999999997</v>
      </c>
      <c r="F6" s="197">
        <v>5904.9306600000018</v>
      </c>
      <c r="G6" s="197">
        <v>110272.67937999996</v>
      </c>
      <c r="H6" s="197">
        <v>1367.1055799999997</v>
      </c>
      <c r="I6" s="197">
        <v>1844.2230599999998</v>
      </c>
      <c r="J6" s="197">
        <v>9721.4564300000075</v>
      </c>
      <c r="K6" s="197">
        <v>7002.5958500000015</v>
      </c>
      <c r="L6" s="197">
        <v>2531.4507499999995</v>
      </c>
      <c r="M6" s="197">
        <v>4759.9906600000004</v>
      </c>
      <c r="N6" s="197">
        <v>143943.95822999999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25.72315</v>
      </c>
      <c r="F7" s="197">
        <v>429.86874999999998</v>
      </c>
      <c r="G7" s="197">
        <v>7227.8682800000015</v>
      </c>
      <c r="H7" s="197">
        <v>63.874020000000002</v>
      </c>
      <c r="I7" s="197">
        <v>94.493800000000007</v>
      </c>
      <c r="J7" s="197">
        <v>1499.1741</v>
      </c>
      <c r="K7" s="197">
        <v>692.74941000000001</v>
      </c>
      <c r="L7" s="197">
        <v>158.64571000000001</v>
      </c>
      <c r="M7" s="197">
        <v>402.56244999999996</v>
      </c>
      <c r="N7" s="197">
        <v>10594.959670000002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131.19560999999999</v>
      </c>
      <c r="F8" s="197">
        <v>1172.7227700000001</v>
      </c>
      <c r="G8" s="197">
        <v>25430.536900000006</v>
      </c>
      <c r="H8" s="197">
        <v>263.00986999999998</v>
      </c>
      <c r="I8" s="197">
        <v>390.07150000000007</v>
      </c>
      <c r="J8" s="197">
        <v>2031.5633800000007</v>
      </c>
      <c r="K8" s="197">
        <v>1463.5860700000003</v>
      </c>
      <c r="L8" s="197">
        <v>493.92269999999996</v>
      </c>
      <c r="M8" s="197">
        <v>1007.3965800000001</v>
      </c>
      <c r="N8" s="197">
        <v>32384.00538000001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202.48131000000001</v>
      </c>
      <c r="F9" s="196">
        <v>5141.970870000001</v>
      </c>
      <c r="G9" s="196">
        <v>7893.4089200000035</v>
      </c>
      <c r="H9" s="196">
        <v>210.62108000000001</v>
      </c>
      <c r="I9" s="196">
        <v>263.33228000000003</v>
      </c>
      <c r="J9" s="196">
        <v>23941.051419999985</v>
      </c>
      <c r="K9" s="196">
        <v>936.09410999999989</v>
      </c>
      <c r="L9" s="196">
        <v>167.37650000000002</v>
      </c>
      <c r="M9" s="196">
        <v>37684.351490000001</v>
      </c>
      <c r="N9" s="196">
        <v>76440.687979999988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28.597729999999999</v>
      </c>
      <c r="F10" s="197">
        <v>162.43572</v>
      </c>
      <c r="G10" s="197">
        <v>4927.9881900000028</v>
      </c>
      <c r="H10" s="197">
        <v>4.9237200000000003</v>
      </c>
      <c r="I10" s="197">
        <v>11.750069999999999</v>
      </c>
      <c r="J10" s="197">
        <v>200.06734</v>
      </c>
      <c r="K10" s="197">
        <v>127.87519999999998</v>
      </c>
      <c r="L10" s="197">
        <v>9.7328200000000002</v>
      </c>
      <c r="M10" s="197">
        <v>173.86060999999998</v>
      </c>
      <c r="N10" s="197">
        <v>5647.2314000000024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173.88357999999999</v>
      </c>
      <c r="F11" s="197">
        <v>4979.5351500000006</v>
      </c>
      <c r="G11" s="197">
        <v>2965.4207300000012</v>
      </c>
      <c r="H11" s="197">
        <v>205.69736</v>
      </c>
      <c r="I11" s="197">
        <v>251.58221</v>
      </c>
      <c r="J11" s="197">
        <v>23740.984079999984</v>
      </c>
      <c r="K11" s="197">
        <v>808.21890999999994</v>
      </c>
      <c r="L11" s="197">
        <v>157.64368000000002</v>
      </c>
      <c r="M11" s="197">
        <v>37510.490879999998</v>
      </c>
      <c r="N11" s="197">
        <v>70793.456579999984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0</v>
      </c>
      <c r="G12" s="198">
        <v>8.2002299999999995</v>
      </c>
      <c r="H12" s="198">
        <v>0</v>
      </c>
      <c r="I12" s="198">
        <v>0</v>
      </c>
      <c r="J12" s="198">
        <v>42364.125919999991</v>
      </c>
      <c r="K12" s="198">
        <v>0</v>
      </c>
      <c r="L12" s="198">
        <v>0</v>
      </c>
      <c r="M12" s="198">
        <v>0</v>
      </c>
      <c r="N12" s="198">
        <v>42372.326149999994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5860</v>
      </c>
      <c r="E13" s="196">
        <v>6.6679000000000004</v>
      </c>
      <c r="F13" s="196">
        <v>5006.7992100000001</v>
      </c>
      <c r="G13" s="196">
        <v>31314.198610000007</v>
      </c>
      <c r="H13" s="196">
        <v>3572.0536899999993</v>
      </c>
      <c r="I13" s="196">
        <v>205028.33403</v>
      </c>
      <c r="J13" s="196">
        <v>3443.48011</v>
      </c>
      <c r="K13" s="196">
        <v>2450.0009399999999</v>
      </c>
      <c r="L13" s="196">
        <v>6725.6101300000009</v>
      </c>
      <c r="M13" s="196">
        <v>11038.562570000002</v>
      </c>
      <c r="N13" s="196">
        <v>274445.70718999999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5860</v>
      </c>
      <c r="E14" s="200">
        <v>0</v>
      </c>
      <c r="F14" s="200">
        <v>3514.5398399999999</v>
      </c>
      <c r="G14" s="200">
        <v>9126.2339000000011</v>
      </c>
      <c r="H14" s="200">
        <v>3425.2822199999991</v>
      </c>
      <c r="I14" s="200">
        <v>205012.94122000001</v>
      </c>
      <c r="J14" s="200">
        <v>3377.6916299999998</v>
      </c>
      <c r="K14" s="200">
        <v>1668.9793299999999</v>
      </c>
      <c r="L14" s="200">
        <v>4405.5626900000007</v>
      </c>
      <c r="M14" s="200">
        <v>11019.205640000002</v>
      </c>
      <c r="N14" s="200">
        <v>247410.43646999999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5860</v>
      </c>
      <c r="E16" s="198">
        <v>0</v>
      </c>
      <c r="F16" s="198">
        <v>3514.5398399999999</v>
      </c>
      <c r="G16" s="198">
        <v>9126.2339000000011</v>
      </c>
      <c r="H16" s="198">
        <v>3425.2822199999991</v>
      </c>
      <c r="I16" s="198">
        <v>205012.94122000001</v>
      </c>
      <c r="J16" s="198">
        <v>3377.6916299999998</v>
      </c>
      <c r="K16" s="198">
        <v>1668.9793299999999</v>
      </c>
      <c r="L16" s="198">
        <v>4405.5626900000007</v>
      </c>
      <c r="M16" s="198">
        <v>11019.205640000002</v>
      </c>
      <c r="N16" s="198">
        <v>247410.43646999999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6.6679000000000004</v>
      </c>
      <c r="F19" s="200">
        <v>1492.25937</v>
      </c>
      <c r="G19" s="200">
        <v>22187.964710000004</v>
      </c>
      <c r="H19" s="200">
        <v>146.77146999999999</v>
      </c>
      <c r="I19" s="200">
        <v>15.392810000000001</v>
      </c>
      <c r="J19" s="200">
        <v>65.788479999999993</v>
      </c>
      <c r="K19" s="200">
        <v>781.02161000000001</v>
      </c>
      <c r="L19" s="200">
        <v>2320.0474400000003</v>
      </c>
      <c r="M19" s="200">
        <v>19.356930000000002</v>
      </c>
      <c r="N19" s="200">
        <v>27035.270720000008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7596.6229200000034</v>
      </c>
      <c r="H20" s="198">
        <v>97.9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7694.5229200000031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1310.1545100000001</v>
      </c>
      <c r="G22" s="198">
        <v>12096.020110000001</v>
      </c>
      <c r="H22" s="198">
        <v>44</v>
      </c>
      <c r="I22" s="198">
        <v>1.1971500000000002</v>
      </c>
      <c r="J22" s="198">
        <v>0</v>
      </c>
      <c r="K22" s="198">
        <v>765.36122</v>
      </c>
      <c r="L22" s="198">
        <v>1322.1074299999998</v>
      </c>
      <c r="M22" s="198">
        <v>0.3</v>
      </c>
      <c r="N22" s="198">
        <v>15539.140420000002</v>
      </c>
    </row>
    <row r="23" spans="2:14" hidden="1">
      <c r="B23" s="195"/>
      <c r="C23" s="104">
        <v>0</v>
      </c>
      <c r="D23" s="198">
        <v>0</v>
      </c>
      <c r="E23" s="198">
        <v>1.6679000000000002</v>
      </c>
      <c r="F23" s="198">
        <v>152.25986</v>
      </c>
      <c r="G23" s="198">
        <v>2492.0216799999998</v>
      </c>
      <c r="H23" s="198">
        <v>4.8714699999999995</v>
      </c>
      <c r="I23" s="198">
        <v>14.19566</v>
      </c>
      <c r="J23" s="198">
        <v>45.699479999999994</v>
      </c>
      <c r="K23" s="198">
        <v>15.66039</v>
      </c>
      <c r="L23" s="198">
        <v>997.94001000000026</v>
      </c>
      <c r="M23" s="198">
        <v>19.056930000000001</v>
      </c>
      <c r="N23" s="198">
        <v>3743.3733800000005</v>
      </c>
    </row>
    <row r="24" spans="2:14" hidden="1">
      <c r="B24" s="195"/>
      <c r="C24" s="187">
        <v>0</v>
      </c>
      <c r="D24" s="198">
        <v>0</v>
      </c>
      <c r="E24" s="198">
        <v>5</v>
      </c>
      <c r="F24" s="198">
        <v>29.845000000000002</v>
      </c>
      <c r="G24" s="198">
        <v>3.3</v>
      </c>
      <c r="H24" s="198">
        <v>0</v>
      </c>
      <c r="I24" s="198">
        <v>0</v>
      </c>
      <c r="J24" s="198">
        <v>20.088999999999999</v>
      </c>
      <c r="K24" s="198">
        <v>0</v>
      </c>
      <c r="L24" s="198">
        <v>0</v>
      </c>
      <c r="M24" s="198">
        <v>0</v>
      </c>
      <c r="N24" s="198">
        <v>58.233999999999995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564.25905</v>
      </c>
      <c r="L25" s="198">
        <v>0</v>
      </c>
      <c r="M25" s="198">
        <v>2638.2762900000002</v>
      </c>
      <c r="N25" s="198">
        <v>3202.5353400000004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12.69495</v>
      </c>
      <c r="G26" s="198">
        <v>25.437720000000006</v>
      </c>
      <c r="H26" s="198">
        <v>0.46</v>
      </c>
      <c r="I26" s="198">
        <v>2.6611899999999999</v>
      </c>
      <c r="J26" s="198">
        <v>344.03731999999997</v>
      </c>
      <c r="K26" s="198">
        <v>146.90962999999999</v>
      </c>
      <c r="L26" s="198">
        <v>0</v>
      </c>
      <c r="M26" s="198">
        <v>14.955080000000001</v>
      </c>
      <c r="N26" s="198">
        <v>547.15588999999989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100</v>
      </c>
      <c r="E27" s="32">
        <v>2.5778600000000003</v>
      </c>
      <c r="F27" s="32">
        <v>365.30378000000002</v>
      </c>
      <c r="G27" s="32">
        <v>2050.4414100000004</v>
      </c>
      <c r="H27" s="32">
        <v>583.36932000000002</v>
      </c>
      <c r="I27" s="32">
        <v>3179.6259800000003</v>
      </c>
      <c r="J27" s="32">
        <v>2585.55845</v>
      </c>
      <c r="K27" s="32">
        <v>1034.5003099999999</v>
      </c>
      <c r="L27" s="32">
        <v>9512.2330199999997</v>
      </c>
      <c r="M27" s="32">
        <v>13455.39689</v>
      </c>
      <c r="N27" s="32">
        <v>32869.007020000005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2.5778600000000003</v>
      </c>
      <c r="F28" s="198">
        <v>364.16972000000004</v>
      </c>
      <c r="G28" s="198">
        <v>819.3598300000001</v>
      </c>
      <c r="H28" s="198">
        <v>0</v>
      </c>
      <c r="I28" s="198">
        <v>10.293530000000001</v>
      </c>
      <c r="J28" s="198">
        <v>1337.15868</v>
      </c>
      <c r="K28" s="198">
        <v>222.26882000000001</v>
      </c>
      <c r="L28" s="198">
        <v>376.39356000000004</v>
      </c>
      <c r="M28" s="198">
        <v>13165.46975</v>
      </c>
      <c r="N28" s="198">
        <v>16297.69175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100</v>
      </c>
      <c r="E29" s="196">
        <v>0</v>
      </c>
      <c r="F29" s="196">
        <v>1.1340599999999998</v>
      </c>
      <c r="G29" s="196">
        <v>1231.08158</v>
      </c>
      <c r="H29" s="196">
        <v>583.36932000000002</v>
      </c>
      <c r="I29" s="196">
        <v>3169.3324500000003</v>
      </c>
      <c r="J29" s="196">
        <v>1248.39977</v>
      </c>
      <c r="K29" s="196">
        <v>812.23149000000001</v>
      </c>
      <c r="L29" s="196">
        <v>9135.8394599999992</v>
      </c>
      <c r="M29" s="196">
        <v>289.92714000000007</v>
      </c>
      <c r="N29" s="196">
        <v>16571.315269999999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100</v>
      </c>
      <c r="E30" s="200">
        <v>0</v>
      </c>
      <c r="F30" s="200">
        <v>1.1340599999999998</v>
      </c>
      <c r="G30" s="200">
        <v>1196.10411</v>
      </c>
      <c r="H30" s="200">
        <v>583.36932000000002</v>
      </c>
      <c r="I30" s="200">
        <v>3169.3324500000003</v>
      </c>
      <c r="J30" s="200">
        <v>1060.37156</v>
      </c>
      <c r="K30" s="200">
        <v>812.23149000000001</v>
      </c>
      <c r="L30" s="200">
        <v>13.654819999999999</v>
      </c>
      <c r="M30" s="200">
        <v>289.92714000000007</v>
      </c>
      <c r="N30" s="200">
        <v>7226.1249499999994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810.75549000000001</v>
      </c>
      <c r="L31" s="198">
        <v>0</v>
      </c>
      <c r="M31" s="198">
        <v>0</v>
      </c>
      <c r="N31" s="198">
        <v>810.75549000000001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100</v>
      </c>
      <c r="E32" s="198">
        <v>0</v>
      </c>
      <c r="F32" s="198">
        <v>1.1340599999999998</v>
      </c>
      <c r="G32" s="198">
        <v>1196.10411</v>
      </c>
      <c r="H32" s="198">
        <v>583.36932000000002</v>
      </c>
      <c r="I32" s="198">
        <v>3169.3324500000003</v>
      </c>
      <c r="J32" s="198">
        <v>1060.37156</v>
      </c>
      <c r="K32" s="198">
        <v>1.476</v>
      </c>
      <c r="L32" s="198">
        <v>13.654819999999999</v>
      </c>
      <c r="M32" s="198">
        <v>289.92714000000007</v>
      </c>
      <c r="N32" s="198">
        <v>6415.369459999999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34.977470000000004</v>
      </c>
      <c r="H35" s="200">
        <v>0</v>
      </c>
      <c r="I35" s="200">
        <v>0</v>
      </c>
      <c r="J35" s="200">
        <v>188.02821</v>
      </c>
      <c r="K35" s="200">
        <v>0</v>
      </c>
      <c r="L35" s="200">
        <v>9122.1846399999995</v>
      </c>
      <c r="M35" s="200">
        <v>0</v>
      </c>
      <c r="N35" s="200">
        <v>9345.1903199999997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5960</v>
      </c>
      <c r="E38" s="204">
        <v>908.17169000000001</v>
      </c>
      <c r="F38" s="204">
        <v>18034.290990000001</v>
      </c>
      <c r="G38" s="204">
        <v>184222.77144999997</v>
      </c>
      <c r="H38" s="204">
        <v>6060.4935599999981</v>
      </c>
      <c r="I38" s="204">
        <v>210802.74184000003</v>
      </c>
      <c r="J38" s="204">
        <v>85930.447129999986</v>
      </c>
      <c r="K38" s="204">
        <v>14290.695370000003</v>
      </c>
      <c r="L38" s="204">
        <v>19589.238810000003</v>
      </c>
      <c r="M38" s="204">
        <v>71001.492010000002</v>
      </c>
      <c r="N38" s="204">
        <v>616800.34285000002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5000</v>
      </c>
      <c r="K40" s="208">
        <v>0</v>
      </c>
      <c r="L40" s="208">
        <v>0</v>
      </c>
      <c r="M40" s="208">
        <v>0</v>
      </c>
      <c r="N40" s="208">
        <v>5000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85313.69769999999</v>
      </c>
      <c r="K41" s="200">
        <v>0</v>
      </c>
      <c r="L41" s="200">
        <v>0</v>
      </c>
      <c r="M41" s="200">
        <v>0</v>
      </c>
      <c r="N41" s="200">
        <v>85313.69769999999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67399.129799999995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49" t="str">
        <f>+IF(Índice!$D$2=1,"Fonte: Secretaria Regional das Finanças","Source: Regional Finance Secretariat")</f>
        <v>Fonte: Secretaria Regional das Finanças</v>
      </c>
      <c r="D46" s="349" t="str">
        <f>+IF(Índice!$D$2="PT","Fonte: Vice-Presidência do Governo Regional","Source: Vice-Presidency of the Regional Government")</f>
        <v>Source: Vice-Presidency of the Regional Government</v>
      </c>
      <c r="E46" s="349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QUADRO IX - Saldo Global do Subsetor - EPR (janeiro-maio)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5907.1600600001111</v>
      </c>
      <c r="E5" s="82">
        <v>20320.288799999922</v>
      </c>
    </row>
    <row r="6" spans="2:7">
      <c r="B6" s="29"/>
      <c r="C6" s="103"/>
      <c r="D6" s="103"/>
      <c r="E6" s="103"/>
    </row>
    <row r="7" spans="2:7">
      <c r="B7" s="29"/>
      <c r="C7" s="349" t="str">
        <f>+IF(Índice!$D$2=1,"Fonte: Secretaria Regional das Finanças","Source: Regional Finance Secretariat")</f>
        <v>Fonte: Secretaria Regional das Finanças</v>
      </c>
      <c r="D7" s="349" t="str">
        <f>+IF(Índice!$D$2="PT","Fonte: Vice-Presidência do Governo Regional","Source: Vice-Presidency of the Regional Government")</f>
        <v>Source: Vice-Presidency of the Regional Government</v>
      </c>
      <c r="E7" s="349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50" t="str">
        <f>+IF(Índice!$D$2=1,"QUADRO X - Execução orçamental dos Serviços e Fundos Autónomos e EPR (janeiro-maio)","TABLE X - ASFs and RPEs budget execution (january-may)")</f>
        <v>QUADRO X - Execução orçamental dos Serviços e Fundos Autónomos e EPR (janeiro-maio)</v>
      </c>
      <c r="D2" s="351"/>
      <c r="E2" s="351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11118.624600000039</v>
      </c>
      <c r="E4" s="98">
        <v>20320.288799999922</v>
      </c>
      <c r="F4" s="98">
        <v>31438.913399999961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292246.01713000005</v>
      </c>
      <c r="E7" s="74">
        <v>215492.9346200001</v>
      </c>
      <c r="F7" s="74">
        <v>507738.95175000018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12221.28873000004</v>
      </c>
      <c r="E8" s="74">
        <v>20433.707019999922</v>
      </c>
      <c r="F8" s="74">
        <v>32654.995749999962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11254.145930000057</v>
      </c>
      <c r="E9" s="74">
        <v>19916.525279999943</v>
      </c>
      <c r="F9" s="74">
        <v>31170.67121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-135.52133000000049</v>
      </c>
      <c r="E10" s="74">
        <v>403.76351999999315</v>
      </c>
      <c r="F10" s="74">
        <v>268.24218999999357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49" t="str">
        <f>+IF(Índice!$D$2=1,"Fonte: Secretaria Regional das Finanças","Source: Regional Finance Secretariat")</f>
        <v>Fonte: Secretaria Regional das Finanças</v>
      </c>
      <c r="D12" s="349" t="str">
        <f>+IF(Índice!$D$2="PT","Fonte: Vice-Presidência do Governo Regional","Source: Vice-Presidency of the Regional Government")</f>
        <v>Source: Vice-Presidency of the Regional Government</v>
      </c>
      <c r="E12" s="349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5"/>
  <sheetViews>
    <sheetView showGridLines="0" zoomScale="120" zoomScaleNormal="120" zoomScalePageLayoutView="115" workbookViewId="0">
      <selection activeCell="C2" sqref="C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(janeiro-maio)","TABLE XI - ASFs and RPEs budget execution (january-may)")</f>
        <v>QUADRO XI - Execução orçamental dos Serviços e Fundos Autónomos e EPR (janeiro-maio)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297950.29986000009</v>
      </c>
      <c r="E4" s="108">
        <v>212396.47873000003</v>
      </c>
      <c r="F4" s="108">
        <v>510346.77859000012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7130.0468000000001</v>
      </c>
      <c r="E8" s="74">
        <v>5820.7753699999994</v>
      </c>
      <c r="F8" s="74">
        <v>12950.822169999999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287134.11187000008</v>
      </c>
      <c r="E9" s="74">
        <v>189251.22928000003</v>
      </c>
      <c r="F9" s="74">
        <v>476385.34115000011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18216.187259999999</v>
      </c>
      <c r="E10" s="74">
        <v>1991.7867299999998</v>
      </c>
      <c r="F10" s="74">
        <v>20207.973989999999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268111.1046100001</v>
      </c>
      <c r="E11" s="74">
        <v>187254.08006000004</v>
      </c>
      <c r="F11" s="74">
        <v>455365.1846700001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3203.4331299999994</v>
      </c>
      <c r="E12" s="74">
        <v>8992.364590000001</v>
      </c>
      <c r="F12" s="74">
        <v>12195.79772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482.70805999999999</v>
      </c>
      <c r="E13" s="74">
        <v>8332.1094900000007</v>
      </c>
      <c r="F13" s="74">
        <v>8814.8175500000016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6517.0060000000003</v>
      </c>
      <c r="E14" s="83">
        <v>23530.162909999995</v>
      </c>
      <c r="F14" s="83">
        <v>30047.168909999997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68.392600000000002</v>
      </c>
      <c r="F15" s="34">
        <v>68.392600000000002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6326.8739000000005</v>
      </c>
      <c r="E16" s="34">
        <v>23443.681149999997</v>
      </c>
      <c r="F16" s="74">
        <v>29770.555049999995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4785.5804200000002</v>
      </c>
      <c r="E17" s="34">
        <v>18085.584540000003</v>
      </c>
      <c r="F17" s="74">
        <v>22871.164960000002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1541.2934800000003</v>
      </c>
      <c r="E18" s="74">
        <v>5358.0966099999932</v>
      </c>
      <c r="F18" s="74">
        <v>6899.3900899999935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10.08919</v>
      </c>
      <c r="F19" s="74">
        <v>10.08919</v>
      </c>
    </row>
    <row r="20" spans="2:6" ht="11.25" customHeight="1">
      <c r="C20" s="110" t="str">
        <f>+IF(Índice!$D$2=1,"Receita efetiva","Effective revenue")</f>
        <v>Receita efetiva</v>
      </c>
      <c r="D20" s="83">
        <v>304467.30586000008</v>
      </c>
      <c r="E20" s="83">
        <v>235926.64164000002</v>
      </c>
      <c r="F20" s="83">
        <v>540393.94750000013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286696.15393000003</v>
      </c>
      <c r="E22" s="83">
        <v>192479.95345000009</v>
      </c>
      <c r="F22" s="83">
        <v>479176.10738000012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25273.418059999993</v>
      </c>
      <c r="E23" s="74">
        <v>119640.1684100001</v>
      </c>
      <c r="F23" s="74">
        <v>144913.5864700001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46290.852249999982</v>
      </c>
      <c r="E24" s="74">
        <v>65851.434209999978</v>
      </c>
      <c r="F24" s="74">
        <v>112142.28645999996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1102.6641300000001</v>
      </c>
      <c r="E25" s="74">
        <v>113.41822000000001</v>
      </c>
      <c r="F25" s="74">
        <v>1216.0823500000001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200613.84810000009</v>
      </c>
      <c r="E26" s="74">
        <v>6216.7171300000009</v>
      </c>
      <c r="F26" s="74">
        <v>206830.56523000009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1354.4838099999999</v>
      </c>
      <c r="E27" s="74">
        <v>0</v>
      </c>
      <c r="F27" s="59">
        <v>1354.4838099999999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199259.36429000009</v>
      </c>
      <c r="E28" s="74">
        <v>6216.7171300000009</v>
      </c>
      <c r="F28" s="59">
        <v>205476.08142000009</v>
      </c>
    </row>
    <row r="29" spans="2:6" ht="11.25" customHeight="1">
      <c r="C29" s="104" t="str">
        <f>+IF(Índice!$D$2=1,"Subsídios","Subsidies")</f>
        <v>Subsídios</v>
      </c>
      <c r="D29" s="74">
        <v>13383.47732</v>
      </c>
      <c r="E29" s="74">
        <v>0</v>
      </c>
      <c r="F29" s="74">
        <v>13383.47732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31.894069999999999</v>
      </c>
      <c r="E30" s="74">
        <v>658.21547999999984</v>
      </c>
      <c r="F30" s="74">
        <v>690.1095499999999</v>
      </c>
    </row>
    <row r="31" spans="2:6" ht="11.25" customHeight="1">
      <c r="C31" s="110" t="str">
        <f>+IF(Índice!$D$2=1,"Despesa de capital","Capital expenditure")</f>
        <v>Despesa de capital</v>
      </c>
      <c r="D31" s="83">
        <v>6652.5273300000008</v>
      </c>
      <c r="E31" s="83">
        <v>23126.399390000002</v>
      </c>
      <c r="F31" s="83">
        <v>29778.926720000003</v>
      </c>
    </row>
    <row r="32" spans="2:6" ht="11.25" customHeight="1">
      <c r="C32" s="104" t="str">
        <f>+IF(Índice!$D$2=1,"Investimento","Investment")</f>
        <v>Investimento</v>
      </c>
      <c r="D32" s="74">
        <v>1427.7894500000002</v>
      </c>
      <c r="E32" s="74">
        <v>22580.338480000002</v>
      </c>
      <c r="F32" s="74">
        <v>24008.127930000002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5224.7378800000006</v>
      </c>
      <c r="E33" s="74">
        <v>546.06091000000004</v>
      </c>
      <c r="F33" s="74">
        <v>5770.7987900000007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293348.68126000004</v>
      </c>
      <c r="E36" s="83">
        <v>215606.35284000009</v>
      </c>
      <c r="F36" s="83">
        <v>508955.03410000016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1582.0414800000001</v>
      </c>
      <c r="E38" s="35">
        <v>317.26330999999999</v>
      </c>
      <c r="F38" s="35">
        <v>1899.3047900000001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275.50538</v>
      </c>
      <c r="F39" s="35">
        <v>275.50538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customHeight="1">
      <c r="C41" s="110"/>
      <c r="D41" s="83"/>
      <c r="E41" s="83"/>
      <c r="F41" s="83"/>
    </row>
    <row r="42" spans="3:6" ht="11.25" customHeight="1">
      <c r="C42" s="112"/>
      <c r="D42" s="113"/>
      <c r="E42" s="113"/>
      <c r="F42" s="113"/>
    </row>
    <row r="43" spans="3:6" ht="17.25" customHeight="1">
      <c r="C43" s="144" t="str">
        <f>+IF(Índice!$D$2=1,"Saldo global","Overall balance")</f>
        <v>Saldo global</v>
      </c>
      <c r="D43" s="114">
        <v>11118.624600000039</v>
      </c>
      <c r="E43" s="114">
        <v>20320.288799999922</v>
      </c>
      <c r="F43" s="114">
        <v>31438.913399999961</v>
      </c>
    </row>
    <row r="44" spans="3:6" ht="15" customHeight="1">
      <c r="C44" s="349" t="str">
        <f>+IF(Índice!$D$2=1,"Fonte: Secretaria Regional das Finanças","Source: Regional Finance Secretariat")</f>
        <v>Fonte: Secretaria Regional das Finanças</v>
      </c>
      <c r="D44" s="349" t="str">
        <f>+IF(Índice!$D$2="PT","Fonte: Vice-Presidência do Governo Regional","Source: Vice-Presidency of the Regional Government")</f>
        <v>Source: Vice-Presidency of the Regional Government</v>
      </c>
      <c r="E44" s="349" t="str">
        <f>+IF(Índice!$D$2="PT","Fonte: Vice-Presidência do Governo Regional","Source: Vice-Presidency of the Regional Government")</f>
        <v>Source: Vice-Presidency of the Regional Government</v>
      </c>
      <c r="F44" s="59"/>
    </row>
    <row r="45" spans="3:6" ht="11.25" customHeight="1">
      <c r="C45" s="84"/>
      <c r="D45" s="74"/>
      <c r="E45" s="74"/>
      <c r="F45" s="74"/>
    </row>
  </sheetData>
  <mergeCells count="1">
    <mergeCell ref="C44:E44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H14" sqref="H1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(maio)","TABLE XII - ASFs and RPEs budget execution (may)")</f>
        <v>QUADRO XII - Execução orçamental dos Serviços e Fundos Autónomos e EPR (maio)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+IF(Índice!$D$2=1,"maio 2026","may 2026")</f>
        <v>maio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51034.3504500001</v>
      </c>
      <c r="E5" s="316">
        <v>31255.708180000016</v>
      </c>
      <c r="F5" s="316">
        <v>82290.058630000116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51034.3504500001</v>
      </c>
      <c r="E9" s="74">
        <v>31255.708180000016</v>
      </c>
      <c r="F9" s="74">
        <v>82290.058630000116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47141.590210000097</v>
      </c>
      <c r="E10" s="74">
        <v>27332.957860000013</v>
      </c>
      <c r="F10" s="74">
        <v>74474.548070000106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805.4419600000017</v>
      </c>
      <c r="E11" s="83">
        <v>14296.75171</v>
      </c>
      <c r="F11" s="83">
        <v>15102.193670000002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647.34909000000175</v>
      </c>
      <c r="E13" s="34">
        <v>14290.069299999999</v>
      </c>
      <c r="F13" s="74">
        <v>14937.418390000001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51839.792410000104</v>
      </c>
      <c r="E15" s="83">
        <v>45552.459890000013</v>
      </c>
      <c r="F15" s="83">
        <v>97392.252300000109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47688.014419999956</v>
      </c>
      <c r="E17" s="83">
        <v>26511.274030000081</v>
      </c>
      <c r="F17" s="83">
        <v>74199.288450000036</v>
      </c>
    </row>
    <row r="18" spans="3:6" ht="11.25" customHeight="1">
      <c r="C18" s="104" t="str">
        <f>+IF(Índice!$D$2=1,"Consumo público","Public consumption")</f>
        <v>Consumo público</v>
      </c>
      <c r="D18" s="74">
        <v>12024.380179999976</v>
      </c>
      <c r="E18" s="74">
        <v>25296.038720000081</v>
      </c>
      <c r="F18" s="74">
        <v>37320.418900000055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4724.1057700000028</v>
      </c>
      <c r="E19" s="74">
        <v>17267.802730000109</v>
      </c>
      <c r="F19" s="74">
        <v>21991.908500000111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7300.2744099999718</v>
      </c>
      <c r="E20" s="74">
        <v>8028.235989999971</v>
      </c>
      <c r="F20" s="74">
        <v>15328.510399999943</v>
      </c>
    </row>
    <row r="21" spans="3:6" ht="11.25" customHeight="1">
      <c r="C21" s="104" t="str">
        <f>+IF(Índice!$D$2=1,"Subsídios","Subsidies")</f>
        <v>Subsídios</v>
      </c>
      <c r="D21" s="74">
        <v>3559.3721099999993</v>
      </c>
      <c r="E21" s="74">
        <v>0</v>
      </c>
      <c r="F21" s="74">
        <v>3559.3721099999993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66.074459999999959</v>
      </c>
      <c r="E22" s="74">
        <v>1.0171899999999878</v>
      </c>
      <c r="F22" s="59">
        <v>67.091649999999944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32038.187669999988</v>
      </c>
      <c r="E23" s="74">
        <v>1214.2181200000011</v>
      </c>
      <c r="F23" s="59">
        <v>33252.40578999999</v>
      </c>
    </row>
    <row r="24" spans="3:6" ht="11.25" customHeight="1">
      <c r="C24" s="110" t="str">
        <f>+IF(Índice!$D$2=1,"Despesa de capital","Capital expenditure")</f>
        <v>Despesa de capital</v>
      </c>
      <c r="D24" s="83">
        <v>646.05023000000028</v>
      </c>
      <c r="E24" s="83">
        <v>12618.613939999999</v>
      </c>
      <c r="F24" s="83">
        <v>13264.66417</v>
      </c>
    </row>
    <row r="25" spans="3:6" ht="11.25" customHeight="1">
      <c r="C25" s="104" t="str">
        <f>+IF(Índice!$D$2=1,"Investimento","Investment")</f>
        <v>Investimento</v>
      </c>
      <c r="D25" s="74">
        <v>350.72715999999991</v>
      </c>
      <c r="E25" s="74">
        <v>12487.43557</v>
      </c>
      <c r="F25" s="74">
        <v>12838.16273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295.32307000000031</v>
      </c>
      <c r="E26" s="74">
        <v>131.17837</v>
      </c>
      <c r="F26" s="74">
        <v>426.50144000000034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48334.064649999957</v>
      </c>
      <c r="E29" s="83">
        <v>39129.887970000083</v>
      </c>
      <c r="F29" s="83">
        <v>87463.95262000004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3505.7277600001471</v>
      </c>
      <c r="E31" s="318">
        <v>6422.5719199999294</v>
      </c>
      <c r="F31" s="318">
        <v>9928.2996800000765</v>
      </c>
    </row>
    <row r="32" spans="3:6" ht="15" customHeight="1">
      <c r="C32" s="349" t="str">
        <f>+IF(Índice!$D$2=1,"Fonte: Secretaria Regional das Finanças","Source: Regional Finance Secretariat")</f>
        <v>Fonte: Secretaria Regional das Finanças</v>
      </c>
      <c r="D32" s="349"/>
      <c r="E32" s="349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9" zoomScale="120" zoomScaleNormal="120" zoomScaleSheetLayoutView="100" zoomScalePageLayoutView="150" workbookViewId="0">
      <selection activeCell="F57" sqref="F5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2026 (valores acumulados)","Table XIII- Accounts payable of the Regional Administration, may (accumulated)")</f>
        <v>QUADRO XIII - Contas a pagar, da Administração Regional, no final de maio de 2026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25" t="s">
        <v>7</v>
      </c>
      <c r="D3" s="322" t="str">
        <f>+IF(Índice!$D$2=1,"maio 2026","may 2026")</f>
        <v>maio 2026</v>
      </c>
      <c r="E3" s="322" t="str">
        <f>+IF(Índice!$D$2="PT","janeiro 2020","January")</f>
        <v>January</v>
      </c>
      <c r="F3" s="322" t="str">
        <f>+IF(Índice!$D$2="PT","janeiro 2020","January")</f>
        <v>January</v>
      </c>
      <c r="G3" s="329" t="str">
        <f>+IF(Índice!$D$2=1,"Variação face ao stock inicial de janeiro","Change from period initial stock")</f>
        <v>Variação face ao stock inicial de janeiro</v>
      </c>
      <c r="H3" s="330"/>
      <c r="I3" s="330"/>
    </row>
    <row r="4" spans="2:11" ht="12.75" customHeight="1">
      <c r="C4" s="325"/>
      <c r="D4" s="337" t="str">
        <f>+IF(Índice!$D$2=1,"Stock final do período","Accumulated")</f>
        <v>Stock final do período</v>
      </c>
      <c r="E4" s="337"/>
      <c r="F4" s="337"/>
      <c r="G4" s="334" t="str">
        <f>+IF(Índice!$D$2=1,"Passivo","Liabilities")</f>
        <v>Passivo</v>
      </c>
      <c r="H4" s="334" t="str">
        <f>+IF(Índice!$D$2=1,"Contas a pagar","Accounts payable")</f>
        <v>Contas a pagar</v>
      </c>
      <c r="I4" s="323" t="str">
        <f>+IF(Índice!$D$2=1,"Pagamentos em atraso","Late payments")</f>
        <v>Pagamentos em atraso</v>
      </c>
    </row>
    <row r="5" spans="2:11" ht="22.5">
      <c r="B5" s="29"/>
      <c r="C5" s="325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35"/>
      <c r="H5" s="335"/>
      <c r="I5" s="324"/>
    </row>
    <row r="6" spans="2:11">
      <c r="B6" s="29"/>
      <c r="C6" s="119" t="str">
        <f>+IF(Índice!$D$2=1,"Despesa corrente","Current expenditure")</f>
        <v>Despesa corrente</v>
      </c>
      <c r="D6" s="162">
        <v>172869904.12</v>
      </c>
      <c r="E6" s="162">
        <v>154205313.06000006</v>
      </c>
      <c r="F6" s="162">
        <v>18096609.979999997</v>
      </c>
      <c r="G6" s="91">
        <v>4.3642019877281557E-2</v>
      </c>
      <c r="H6" s="91">
        <v>-3.434444005355175E-2</v>
      </c>
      <c r="I6" s="116">
        <v>-6.5830298303251045E-3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14572808.640000002</v>
      </c>
      <c r="E7" s="165">
        <v>13894416.380000001</v>
      </c>
      <c r="F7" s="165">
        <v>158107.60999999999</v>
      </c>
      <c r="G7" s="95">
        <v>1.8646798878696935</v>
      </c>
      <c r="H7" s="95">
        <v>2.030117182050259</v>
      </c>
      <c r="I7" s="121">
        <v>5.4612167568295344E-3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87986922.210000008</v>
      </c>
      <c r="E8" s="165">
        <v>78550265.540000081</v>
      </c>
      <c r="F8" s="165">
        <v>12884136.789999999</v>
      </c>
      <c r="G8" s="95">
        <v>-6.2451734554499816E-2</v>
      </c>
      <c r="H8" s="95">
        <v>-0.16010484948729742</v>
      </c>
      <c r="I8" s="121">
        <v>-0.18537552104455779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19374417.629999999</v>
      </c>
      <c r="E9" s="165">
        <v>18377024.259999998</v>
      </c>
      <c r="F9" s="165">
        <v>1583729.38</v>
      </c>
      <c r="G9" s="95">
        <v>2.176792493047309</v>
      </c>
      <c r="H9" s="95">
        <v>5.8543123009514844</v>
      </c>
      <c r="I9" s="121">
        <v>-0.17355084683270494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47950445.109999999</v>
      </c>
      <c r="E10" s="165">
        <v>40398617.159999996</v>
      </c>
      <c r="F10" s="165">
        <v>734372.20000000007</v>
      </c>
      <c r="G10" s="95">
        <v>-0.20859134790155953</v>
      </c>
      <c r="H10" s="95">
        <v>-0.31397810409453375</v>
      </c>
      <c r="I10" s="121">
        <v>1.2466111261998978</v>
      </c>
    </row>
    <row r="11" spans="2:11">
      <c r="B11" s="29"/>
      <c r="C11" s="120" t="str">
        <f>+IF(Índice!$D$2=1,"Subsídios","Subsidies")</f>
        <v>Subsídios</v>
      </c>
      <c r="D11" s="165">
        <v>2964910.7899999996</v>
      </c>
      <c r="E11" s="165">
        <v>2964910.7899999996</v>
      </c>
      <c r="F11" s="165">
        <v>2736213</v>
      </c>
      <c r="G11" s="95">
        <v>12682.567719028062</v>
      </c>
      <c r="H11" s="95">
        <v>12682.567719028062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20399.739999999998</v>
      </c>
      <c r="E12" s="165">
        <v>20078.93</v>
      </c>
      <c r="F12" s="165">
        <v>51</v>
      </c>
      <c r="G12" s="95">
        <v>0.11181757239169143</v>
      </c>
      <c r="H12" s="95">
        <v>0.84558318665006027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31743491.700000003</v>
      </c>
      <c r="E13" s="163">
        <v>27011599.020000003</v>
      </c>
      <c r="F13" s="163">
        <v>999603.78</v>
      </c>
      <c r="G13" s="92">
        <v>0.11778219753438091</v>
      </c>
      <c r="H13" s="92">
        <v>0.28322214368907339</v>
      </c>
      <c r="I13" s="117">
        <v>5.9067047017649754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18047189.620000005</v>
      </c>
      <c r="E14" s="165">
        <v>13873297.960000003</v>
      </c>
      <c r="F14" s="165">
        <v>999603.78</v>
      </c>
      <c r="G14" s="95">
        <v>1.1753781956842513E-3</v>
      </c>
      <c r="H14" s="95">
        <v>0.23097547413059338</v>
      </c>
      <c r="I14" s="121">
        <v>5.9067047017649754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13696302.080000002</v>
      </c>
      <c r="E15" s="165">
        <v>13138301.060000002</v>
      </c>
      <c r="F15" s="165">
        <v>0</v>
      </c>
      <c r="G15" s="95">
        <v>0.3204264329161346</v>
      </c>
      <c r="H15" s="95">
        <v>0.34343168272670521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204613395.81999999</v>
      </c>
      <c r="E17" s="164">
        <v>181216912.08000007</v>
      </c>
      <c r="F17" s="164">
        <v>19096213.759999998</v>
      </c>
      <c r="G17" s="147">
        <v>5.4492792998679151E-2</v>
      </c>
      <c r="H17" s="147">
        <v>2.6409283396384708E-3</v>
      </c>
      <c r="I17" s="148">
        <v>4.0027447093276436E-2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142143834.47</v>
      </c>
      <c r="E19" s="164">
        <v>126576078.33000006</v>
      </c>
      <c r="F19" s="164">
        <v>10710654.859999998</v>
      </c>
      <c r="G19" s="147">
        <v>0.14797900174522516</v>
      </c>
      <c r="H19" s="147">
        <v>0.14513897264111786</v>
      </c>
      <c r="I19" s="148">
        <v>1.3366706505810719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Reclassified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2026 (valores acumulados)","Table XIV - Accounts payable of the Regional Gov., may (accumulated)")</f>
        <v>QUADRO XIV - Contas a pagar, do Governo Regional, no final de maio de 2026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25" t="str">
        <f>+IF(Índice!$D$2=1,"Governo Regional","Regional Government")</f>
        <v>Governo Regional</v>
      </c>
      <c r="D24" s="322" t="str">
        <f>+IF(Índice!$D$2=1,"maio 2026","may 2026")</f>
        <v>maio 2026</v>
      </c>
      <c r="E24" s="322" t="str">
        <f>+IF(Índice!$D$2="PT","janeiro 2020","January")</f>
        <v>January</v>
      </c>
      <c r="F24" s="322" t="str">
        <f>+IF(Índice!$D$2="PT","janeiro 2020","January")</f>
        <v>January</v>
      </c>
      <c r="G24" s="329" t="str">
        <f>+IF(Índice!$D$2=1,"Variação face ao stock inicial de janeiro","Change from january initial stock")</f>
        <v>Variação face ao stock inicial de janeiro</v>
      </c>
      <c r="H24" s="330"/>
      <c r="I24" s="330"/>
    </row>
    <row r="25" spans="2:9" ht="22.5" customHeight="1">
      <c r="B25" s="29"/>
      <c r="C25" s="325"/>
      <c r="D25" s="337" t="str">
        <f>+IF(Índice!$D$2=1,"Stock final do período","Accumulated")</f>
        <v>Stock final do período</v>
      </c>
      <c r="E25" s="337"/>
      <c r="F25" s="337"/>
      <c r="G25" s="334" t="str">
        <f>+IF(Índice!$D$2=1,"Passivo","Liabilities")</f>
        <v>Passivo</v>
      </c>
      <c r="H25" s="334" t="str">
        <f>+IF(Índice!$D$2=1,"Contas a pagar","Accounts payable")</f>
        <v>Contas a pagar</v>
      </c>
      <c r="I25" s="323" t="str">
        <f>+IF(Índice!$D$2=1,"Pagamentos em atraso","Late payments")</f>
        <v>Pagamentos em atraso</v>
      </c>
    </row>
    <row r="26" spans="2:9" ht="22.5">
      <c r="B26" s="29"/>
      <c r="C26" s="325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35"/>
      <c r="H26" s="335"/>
      <c r="I26" s="324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44903674.890000008</v>
      </c>
      <c r="E27" s="162">
        <v>35483542.309999995</v>
      </c>
      <c r="F27" s="162">
        <v>3983454.0199999996</v>
      </c>
      <c r="G27" s="91">
        <v>4.6605092950271976</v>
      </c>
      <c r="H27" s="91">
        <v>5.1670869011958622</v>
      </c>
      <c r="I27" s="116">
        <v>2.3029792545135797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25640018.970000003</v>
      </c>
      <c r="E28" s="163">
        <v>20961922.040000003</v>
      </c>
      <c r="F28" s="163">
        <v>630</v>
      </c>
      <c r="G28" s="92">
        <v>0.29349103127101728</v>
      </c>
      <c r="H28" s="172">
        <v>0.37659947143689965</v>
      </c>
      <c r="I28" s="117">
        <v>0</v>
      </c>
    </row>
    <row r="29" spans="2:9" ht="20.100000000000001" customHeight="1">
      <c r="B29" s="29"/>
      <c r="C29" s="146" t="s">
        <v>7</v>
      </c>
      <c r="D29" s="164">
        <v>70543693.860000014</v>
      </c>
      <c r="E29" s="164">
        <v>56445464.349999994</v>
      </c>
      <c r="F29" s="164">
        <v>3984084.0199999996</v>
      </c>
      <c r="G29" s="147">
        <v>1.5416445344429017</v>
      </c>
      <c r="H29" s="147">
        <v>1.6903111871815684</v>
      </c>
      <c r="I29" s="148">
        <v>2.301776852194767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2026 (valores acumulados)","Table XV - Accounts payable of the ASFs, may (accumulated)")</f>
        <v>QUADRO XV - Contas a pagar, dos Serviços e Fundos Autónomos, no final de maio de 2026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26" t="str">
        <f>+IF(Índice!$D$2=1,"Serviços e Fundos Autónomos","Autonomous Services and Funds")</f>
        <v>Serviços e Fundos Autónomos</v>
      </c>
      <c r="D33" s="322" t="str">
        <f>+IF(Índice!$D$2=1,"maio 2026","may 2026")</f>
        <v>maio 2026</v>
      </c>
      <c r="E33" s="322" t="str">
        <f>+IF(Índice!$D$2="PT","janeiro 2020","January")</f>
        <v>January</v>
      </c>
      <c r="F33" s="322" t="str">
        <f>+IF(Índice!$D$2="PT","janeiro 2020","January")</f>
        <v>January</v>
      </c>
      <c r="G33" s="329" t="str">
        <f>+IF(Índice!$D$2=1,"Variação face ao stock inicial de janeiro","Change from january initial stock")</f>
        <v>Variação face ao stock inicial de janeiro</v>
      </c>
      <c r="H33" s="330"/>
      <c r="I33" s="330"/>
    </row>
    <row r="34" spans="2:9" ht="12.75" customHeight="1">
      <c r="C34" s="327"/>
      <c r="D34" s="331" t="str">
        <f>+IF(Índice!$D$2=1,"Stock final do período","Accumulated")</f>
        <v>Stock final do período</v>
      </c>
      <c r="E34" s="332"/>
      <c r="F34" s="333"/>
      <c r="G34" s="336" t="str">
        <f>+IF(Índice!$D$2=1,"Passivo","Liabilities")</f>
        <v>Passivo</v>
      </c>
      <c r="H34" s="336" t="str">
        <f>+IF(Índice!$D$2=1,"Contas a pagar","Accounts payable")</f>
        <v>Contas a pagar</v>
      </c>
      <c r="I34" s="323" t="str">
        <f>+IF(Índice!$D$2=1,"Pagamentos em atraso","Late payments")</f>
        <v>Pagamentos em atraso</v>
      </c>
    </row>
    <row r="35" spans="2:9" ht="22.5">
      <c r="C35" s="328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35"/>
      <c r="H35" s="335"/>
      <c r="I35" s="324"/>
    </row>
    <row r="36" spans="2:9" ht="20.100000000000001" customHeight="1">
      <c r="C36" s="115" t="str">
        <f>+IF(Índice!$D$2=1,"Despesa corrente","Current expenditure")</f>
        <v>Despesa corrente</v>
      </c>
      <c r="D36" s="162">
        <v>70775576.519999996</v>
      </c>
      <c r="E36" s="162">
        <v>69359845.640000045</v>
      </c>
      <c r="F36" s="162">
        <v>6726570.8399999999</v>
      </c>
      <c r="G36" s="91">
        <v>-0.21536530379886754</v>
      </c>
      <c r="H36" s="91">
        <v>-0.22039212931184848</v>
      </c>
      <c r="I36" s="116">
        <v>0.99183272789491128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166081.22999999998</v>
      </c>
      <c r="E37" s="163">
        <v>112285.48000000001</v>
      </c>
      <c r="F37" s="163">
        <v>0</v>
      </c>
      <c r="G37" s="92">
        <v>-0.29011220999665754</v>
      </c>
      <c r="H37" s="92">
        <v>-0.37674041933642299</v>
      </c>
      <c r="I37" s="117">
        <v>0</v>
      </c>
    </row>
    <row r="38" spans="2:9" ht="20.100000000000001" customHeight="1">
      <c r="C38" s="146" t="s">
        <v>7</v>
      </c>
      <c r="D38" s="164">
        <v>70941657.75</v>
      </c>
      <c r="E38" s="164">
        <v>69472131.120000049</v>
      </c>
      <c r="F38" s="164">
        <v>6726570.8399999999</v>
      </c>
      <c r="G38" s="147">
        <v>-0.21555867117396421</v>
      </c>
      <c r="H38" s="147">
        <v>-0.22070809310364448</v>
      </c>
      <c r="I38" s="148">
        <v>0.99183272789491128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maio de 2026 (valores acumulados)","Table XVI - Accounts payable of the RPEs, may (accumulated)")</f>
        <v>QUADRO XVI - Contas a pagar, das Entidades Públicas Reclassificadas, no final de maio de 2026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26" t="str">
        <f>+IF(Índice!$D$2=1,"Entidades Públicas Reclassseicadas","Reclassified Public Entities")</f>
        <v>Entidades Públicas Reclassseicadas</v>
      </c>
      <c r="D42" s="322" t="str">
        <f>+IF(Índice!$D$2=1,"maio 2026","may 2026")</f>
        <v>maio 2026</v>
      </c>
      <c r="E42" s="322" t="str">
        <f>+IF(Índice!$D$2="PT","janeiro 2020","January")</f>
        <v>January</v>
      </c>
      <c r="F42" s="322" t="str">
        <f>+IF(Índice!$D$2="PT","janeiro 2020","January")</f>
        <v>January</v>
      </c>
      <c r="G42" s="329" t="str">
        <f>+IF(Índice!$D$2=1,"Variação face ao stock inicial de janeiro","Change from january initial stock")</f>
        <v>Variação face ao stock inicial de janeiro</v>
      </c>
      <c r="H42" s="330"/>
      <c r="I42" s="330"/>
    </row>
    <row r="43" spans="2:9" ht="12.75" customHeight="1">
      <c r="C43" s="327"/>
      <c r="D43" s="331" t="str">
        <f>+IF(Índice!$D$2=1,"Stock final do período","Accumulated")</f>
        <v>Stock final do período</v>
      </c>
      <c r="E43" s="332"/>
      <c r="F43" s="333"/>
      <c r="G43" s="334" t="str">
        <f>+IF(Índice!$D$2=1,"Passivo","Liabilities")</f>
        <v>Passivo</v>
      </c>
      <c r="H43" s="334" t="str">
        <f>+IF(Índice!$D$2=1,"Contas a pagar","Accounts payable")</f>
        <v>Contas a pagar</v>
      </c>
      <c r="I43" s="323" t="str">
        <f>+IF(Índice!$D$2=1,"Pagamentos em atraso","Late payments")</f>
        <v>Pagamentos em atraso</v>
      </c>
    </row>
    <row r="44" spans="2:9" ht="22.5">
      <c r="C44" s="328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35"/>
      <c r="H44" s="335"/>
      <c r="I44" s="324"/>
    </row>
    <row r="45" spans="2:9" ht="20.100000000000001" customHeight="1">
      <c r="C45" s="115" t="str">
        <f>+IF(Índice!$D$2=1,"Despesa corrente","Current expenditure")</f>
        <v>Despesa corrente</v>
      </c>
      <c r="D45" s="162">
        <v>57190652.709999993</v>
      </c>
      <c r="E45" s="162">
        <v>49361925.110000022</v>
      </c>
      <c r="F45" s="162">
        <v>7386585.1199999992</v>
      </c>
      <c r="G45" s="91">
        <v>-0.15280954928939994</v>
      </c>
      <c r="H45" s="91">
        <v>-0.24021718169764628</v>
      </c>
      <c r="I45" s="116">
        <v>-0.45820074230168695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5937391.5000000019</v>
      </c>
      <c r="E46" s="163">
        <v>5937391.5000000019</v>
      </c>
      <c r="F46" s="163">
        <v>998973.78</v>
      </c>
      <c r="G46" s="92">
        <v>-0.28828254912066609</v>
      </c>
      <c r="H46" s="92">
        <v>5.2291734159676695E-2</v>
      </c>
      <c r="I46" s="117">
        <v>5.9325286947600366</v>
      </c>
    </row>
    <row r="47" spans="2:9" ht="20.100000000000001" customHeight="1">
      <c r="C47" s="146" t="s">
        <v>7</v>
      </c>
      <c r="D47" s="164">
        <v>63128044.209999993</v>
      </c>
      <c r="E47" s="164">
        <v>55299316.610000022</v>
      </c>
      <c r="F47" s="164">
        <v>8385558.8999999994</v>
      </c>
      <c r="G47" s="147">
        <v>-0.16770978955205285</v>
      </c>
      <c r="H47" s="147">
        <v>-0.21684348321497082</v>
      </c>
      <c r="I47" s="148">
        <v>-0.39135999001365729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93" zoomScale="85" zoomScaleNormal="85" workbookViewId="0">
      <selection activeCell="O102" sqref="O10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89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81</v>
      </c>
      <c r="D7" s="170"/>
      <c r="E7" s="169"/>
    </row>
    <row r="8" spans="2:5">
      <c r="B8" s="195"/>
      <c r="C8" s="170" t="s">
        <v>72</v>
      </c>
      <c r="D8" s="171"/>
      <c r="E8" s="169"/>
    </row>
    <row r="9" spans="2:5">
      <c r="B9" s="195"/>
      <c r="C9" s="170" t="s">
        <v>94</v>
      </c>
      <c r="D9" s="170"/>
      <c r="E9" s="169"/>
    </row>
    <row r="10" spans="2:5">
      <c r="B10" s="195"/>
      <c r="C10" s="170" t="s">
        <v>96</v>
      </c>
      <c r="D10" s="170"/>
      <c r="E10" s="169"/>
    </row>
    <row r="11" spans="2:5">
      <c r="B11" s="195"/>
      <c r="C11" s="170" t="s">
        <v>97</v>
      </c>
      <c r="D11" s="170"/>
      <c r="E11" s="169"/>
    </row>
    <row r="12" spans="2:5">
      <c r="B12" s="195"/>
      <c r="C12" s="170" t="s">
        <v>84</v>
      </c>
      <c r="D12" s="170"/>
      <c r="E12" s="169"/>
    </row>
    <row r="13" spans="2:5">
      <c r="B13" s="195"/>
      <c r="C13" s="170" t="s">
        <v>87</v>
      </c>
      <c r="D13" s="170"/>
      <c r="E13" s="169"/>
    </row>
    <row r="14" spans="2:5">
      <c r="B14" s="195"/>
      <c r="C14" s="171" t="s">
        <v>90</v>
      </c>
      <c r="D14" s="170"/>
      <c r="E14" s="169"/>
    </row>
    <row r="15" spans="2:5">
      <c r="B15" s="195"/>
      <c r="C15" s="170" t="s">
        <v>15</v>
      </c>
      <c r="D15" s="170"/>
      <c r="E15" s="169"/>
    </row>
    <row r="16" spans="2:5">
      <c r="B16" s="195"/>
      <c r="C16" s="170" t="s">
        <v>95</v>
      </c>
      <c r="D16" s="170"/>
      <c r="E16" s="169"/>
    </row>
    <row r="17" spans="2:5">
      <c r="B17" s="195"/>
      <c r="C17" s="170" t="s">
        <v>47</v>
      </c>
      <c r="D17" s="171"/>
      <c r="E17" s="169"/>
    </row>
    <row r="18" spans="2:5">
      <c r="B18" s="195"/>
      <c r="C18" s="170" t="s">
        <v>48</v>
      </c>
      <c r="D18" s="170"/>
      <c r="E18" s="169"/>
    </row>
    <row r="19" spans="2:5">
      <c r="B19" s="195"/>
      <c r="C19" s="170" t="s">
        <v>49</v>
      </c>
      <c r="D19" s="170"/>
      <c r="E19" s="169"/>
    </row>
    <row r="20" spans="2:5">
      <c r="B20" s="195"/>
      <c r="C20" s="170" t="s">
        <v>16</v>
      </c>
      <c r="D20" s="170"/>
      <c r="E20" s="169"/>
    </row>
    <row r="21" spans="2:5">
      <c r="B21" s="195"/>
      <c r="C21" s="170" t="s">
        <v>37</v>
      </c>
      <c r="D21" s="170"/>
      <c r="E21" s="169"/>
    </row>
    <row r="22" spans="2:5">
      <c r="B22" s="195"/>
      <c r="C22" s="170" t="s">
        <v>50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59</v>
      </c>
      <c r="D24" s="170"/>
      <c r="E24" s="169"/>
    </row>
    <row r="25" spans="2:5">
      <c r="B25" s="195"/>
      <c r="C25" s="170" t="s">
        <v>17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38</v>
      </c>
      <c r="D27" s="170"/>
      <c r="E27" s="169"/>
    </row>
    <row r="28" spans="2:5">
      <c r="B28" s="195"/>
      <c r="C28" s="170" t="s">
        <v>83</v>
      </c>
      <c r="D28" s="170"/>
      <c r="E28" s="169"/>
    </row>
    <row r="29" spans="2:5">
      <c r="B29" s="55"/>
      <c r="C29" s="170" t="s">
        <v>51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52</v>
      </c>
      <c r="D31" s="170"/>
      <c r="E31" s="169"/>
    </row>
    <row r="32" spans="2:5">
      <c r="B32" s="55"/>
      <c r="C32" s="170" t="s">
        <v>53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60</v>
      </c>
      <c r="D34" s="170"/>
      <c r="E34" s="169"/>
    </row>
    <row r="35" spans="2:5">
      <c r="B35" s="55"/>
      <c r="C35" s="170" t="s">
        <v>40</v>
      </c>
      <c r="D35" s="170"/>
      <c r="E35" s="169"/>
    </row>
    <row r="36" spans="2:5">
      <c r="B36" s="55"/>
      <c r="C36" s="170" t="s">
        <v>54</v>
      </c>
      <c r="D36" s="170"/>
      <c r="E36" s="169"/>
    </row>
    <row r="37" spans="2:5">
      <c r="B37" s="55"/>
      <c r="C37" s="170" t="s">
        <v>68</v>
      </c>
      <c r="D37" s="170"/>
      <c r="E37" s="169"/>
    </row>
    <row r="38" spans="2:5">
      <c r="B38" s="55"/>
      <c r="C38" s="170" t="s">
        <v>55</v>
      </c>
      <c r="D38" s="170"/>
      <c r="E38" s="169"/>
    </row>
    <row r="39" spans="2:5">
      <c r="B39" s="55"/>
      <c r="C39" s="170" t="s">
        <v>41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42</v>
      </c>
      <c r="D41" s="170"/>
      <c r="E41" s="169"/>
    </row>
    <row r="42" spans="2:5">
      <c r="B42" s="55"/>
      <c r="C42" s="171" t="s">
        <v>71</v>
      </c>
      <c r="D42" s="170"/>
      <c r="E42" s="169"/>
    </row>
    <row r="43" spans="2:5">
      <c r="B43" s="55"/>
      <c r="C43" s="170" t="s">
        <v>72</v>
      </c>
      <c r="D43" s="171"/>
      <c r="E43" s="169"/>
    </row>
    <row r="44" spans="2:5">
      <c r="B44" s="55"/>
      <c r="C44" s="170" t="s">
        <v>18</v>
      </c>
      <c r="D44" s="170"/>
      <c r="E44" s="169"/>
    </row>
    <row r="45" spans="2:5">
      <c r="B45" s="55"/>
      <c r="C45" s="170" t="s">
        <v>64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1" t="s">
        <v>22</v>
      </c>
      <c r="D47" s="170"/>
      <c r="E47" s="169"/>
    </row>
    <row r="48" spans="2:5">
      <c r="B48" s="55"/>
      <c r="C48" s="170" t="s">
        <v>72</v>
      </c>
      <c r="D48" s="170"/>
      <c r="E48" s="169"/>
    </row>
    <row r="49" spans="2:5">
      <c r="B49" s="55"/>
      <c r="C49" s="170" t="s">
        <v>88</v>
      </c>
      <c r="D49" s="170"/>
      <c r="E49" s="169"/>
    </row>
    <row r="50" spans="2:5">
      <c r="B50" s="55"/>
      <c r="C50" s="170" t="s">
        <v>23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43</v>
      </c>
      <c r="D52" s="170"/>
      <c r="E52" s="169"/>
    </row>
    <row r="53" spans="2:5">
      <c r="B53" s="55"/>
      <c r="C53" s="170" t="s">
        <v>44</v>
      </c>
      <c r="D53" s="170"/>
      <c r="E53" s="169"/>
    </row>
    <row r="54" spans="2:5">
      <c r="B54" s="55"/>
      <c r="C54" s="170" t="s">
        <v>35</v>
      </c>
      <c r="D54" s="171"/>
      <c r="E54" s="169"/>
    </row>
    <row r="55" spans="2:5">
      <c r="B55" s="55"/>
      <c r="C55" s="170" t="s">
        <v>20</v>
      </c>
    </row>
    <row r="56" spans="2:5">
      <c r="B56" s="55"/>
      <c r="C56" s="170" t="s">
        <v>45</v>
      </c>
    </row>
    <row r="57" spans="2:5">
      <c r="B57" s="55"/>
      <c r="C57" s="170" t="s">
        <v>21</v>
      </c>
    </row>
    <row r="58" spans="2:5">
      <c r="B58" s="55"/>
      <c r="C58" s="170" t="s">
        <v>100</v>
      </c>
    </row>
    <row r="59" spans="2:5">
      <c r="B59" s="55"/>
      <c r="C59" s="170" t="s">
        <v>36</v>
      </c>
    </row>
    <row r="60" spans="2:5">
      <c r="B60" s="55"/>
      <c r="C60" s="170" t="s">
        <v>74</v>
      </c>
    </row>
    <row r="61" spans="2:5">
      <c r="B61" s="55"/>
      <c r="C61" s="171" t="s">
        <v>75</v>
      </c>
    </row>
    <row r="62" spans="2:5">
      <c r="B62" s="55"/>
      <c r="C62" s="170" t="s">
        <v>66</v>
      </c>
    </row>
    <row r="63" spans="2:5">
      <c r="B63" s="55"/>
      <c r="C63" s="170" t="s">
        <v>76</v>
      </c>
    </row>
    <row r="64" spans="2:5">
      <c r="B64" s="55"/>
      <c r="C64" s="171" t="s">
        <v>65</v>
      </c>
    </row>
    <row r="65" spans="2:3">
      <c r="B65" s="55"/>
      <c r="C65" s="170" t="s">
        <v>72</v>
      </c>
    </row>
    <row r="66" spans="2:3">
      <c r="B66" s="55"/>
      <c r="C66" s="170" t="s">
        <v>57</v>
      </c>
    </row>
    <row r="67" spans="2:3">
      <c r="B67" s="55"/>
      <c r="C67" s="170" t="s">
        <v>24</v>
      </c>
    </row>
    <row r="68" spans="2:3">
      <c r="B68" s="55"/>
      <c r="C68" s="170" t="s">
        <v>85</v>
      </c>
    </row>
    <row r="69" spans="2:3">
      <c r="B69" s="55"/>
      <c r="C69" s="170" t="s">
        <v>77</v>
      </c>
    </row>
    <row r="70" spans="2:3">
      <c r="B70" s="55"/>
      <c r="C70" s="171" t="s">
        <v>70</v>
      </c>
    </row>
    <row r="71" spans="2:3">
      <c r="B71" s="55"/>
      <c r="C71" s="170" t="s">
        <v>72</v>
      </c>
    </row>
    <row r="72" spans="2:3">
      <c r="B72" s="55"/>
      <c r="C72" s="170" t="s">
        <v>25</v>
      </c>
    </row>
    <row r="73" spans="2:3" ht="13.5" customHeight="1">
      <c r="B73" s="55"/>
      <c r="C73" s="170" t="s">
        <v>26</v>
      </c>
    </row>
    <row r="74" spans="2:3" ht="13.5" customHeight="1">
      <c r="B74" s="55"/>
      <c r="C74" s="170" t="s">
        <v>27</v>
      </c>
    </row>
    <row r="75" spans="2:3" ht="13.5" customHeight="1">
      <c r="B75" s="55"/>
      <c r="C75" s="170" t="s">
        <v>78</v>
      </c>
    </row>
    <row r="76" spans="2:3" ht="13.5" customHeight="1">
      <c r="B76" s="55"/>
      <c r="C76" s="289" t="s">
        <v>79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81</v>
      </c>
    </row>
    <row r="85" spans="2:3">
      <c r="B85" s="55"/>
      <c r="C85" s="170" t="s">
        <v>58</v>
      </c>
    </row>
    <row r="86" spans="2:3">
      <c r="B86" s="55"/>
      <c r="C86" s="171" t="s">
        <v>90</v>
      </c>
    </row>
    <row r="87" spans="2:3">
      <c r="B87" s="55"/>
      <c r="C87" s="170" t="s">
        <v>67</v>
      </c>
    </row>
    <row r="88" spans="2:3">
      <c r="B88" s="55"/>
      <c r="C88" s="170" t="s">
        <v>82</v>
      </c>
    </row>
    <row r="89" spans="2:3">
      <c r="B89" s="55"/>
      <c r="C89" s="170" t="s">
        <v>86</v>
      </c>
    </row>
    <row r="90" spans="2:3">
      <c r="B90" s="55"/>
      <c r="C90" s="170" t="s">
        <v>98</v>
      </c>
    </row>
    <row r="91" spans="2:3">
      <c r="B91" s="55"/>
      <c r="C91" s="171" t="s">
        <v>71</v>
      </c>
    </row>
    <row r="92" spans="2:3">
      <c r="B92" s="55"/>
      <c r="C92" s="170" t="s">
        <v>99</v>
      </c>
    </row>
    <row r="93" spans="2:3">
      <c r="B93" s="55"/>
      <c r="C93" s="170" t="s">
        <v>28</v>
      </c>
    </row>
    <row r="94" spans="2:3">
      <c r="B94" s="55"/>
      <c r="C94" s="170" t="s">
        <v>80</v>
      </c>
    </row>
    <row r="95" spans="2:3">
      <c r="B95" s="55"/>
      <c r="C95" s="171" t="s">
        <v>22</v>
      </c>
    </row>
    <row r="96" spans="2:3">
      <c r="B96" s="55"/>
      <c r="C96" s="170" t="s">
        <v>91</v>
      </c>
    </row>
    <row r="97" spans="2:3">
      <c r="B97" s="55"/>
      <c r="C97" s="171" t="s">
        <v>19</v>
      </c>
    </row>
    <row r="98" spans="2:3">
      <c r="B98" s="55"/>
      <c r="C98" s="170" t="s">
        <v>29</v>
      </c>
    </row>
    <row r="99" spans="2:3">
      <c r="B99" s="55"/>
      <c r="C99" s="170" t="s">
        <v>30</v>
      </c>
    </row>
    <row r="100" spans="2:3">
      <c r="B100" s="55"/>
      <c r="C100" s="170" t="s">
        <v>46</v>
      </c>
    </row>
    <row r="101" spans="2:3">
      <c r="B101" s="55"/>
      <c r="C101" s="171" t="s">
        <v>65</v>
      </c>
    </row>
    <row r="102" spans="2:3">
      <c r="B102" s="55"/>
      <c r="C102" s="170" t="s">
        <v>93</v>
      </c>
    </row>
    <row r="103" spans="2:3">
      <c r="B103" s="55"/>
      <c r="C103" s="171" t="s">
        <v>70</v>
      </c>
    </row>
    <row r="104" spans="2:3">
      <c r="B104" s="55"/>
      <c r="C104" s="170" t="s">
        <v>31</v>
      </c>
    </row>
    <row r="105" spans="2:3">
      <c r="B105" s="55"/>
      <c r="C105" s="170" t="s">
        <v>32</v>
      </c>
    </row>
    <row r="106" spans="2:3">
      <c r="B106" s="55"/>
      <c r="C106" s="170" t="s">
        <v>33</v>
      </c>
    </row>
    <row r="107" spans="2:3">
      <c r="B107" s="55"/>
      <c r="C107" s="170" t="s">
        <v>34</v>
      </c>
    </row>
    <row r="108" spans="2:3">
      <c r="C108" s="170" t="s">
        <v>92</v>
      </c>
    </row>
    <row r="109" spans="2:3">
      <c r="C109" s="170" t="s">
        <v>69</v>
      </c>
    </row>
    <row r="110" spans="2:3">
      <c r="C110" s="289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6" sqref="A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(janeiro-maio)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(janeiro-maio)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(maio)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(janeiro-maio)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(janeiro-maio)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(janeiro-maio)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(janeiro-maio)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(janeiro-maio)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(janeiro-maio)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(janeiro-maio)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(janeiro-maio)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(maio)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maio de 2026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maio de 2026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maio de 2026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maio de 2026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38"/>
      <c r="B22" s="338"/>
      <c r="C22" s="338"/>
      <c r="D22" s="338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:E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QUADRO I - Execução orçamental consolidada (janeiro-maio)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2026","Consolidated balance")</f>
        <v>Saldo
consolidado
2026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582374.45147000009</v>
      </c>
      <c r="E5" s="57">
        <v>297950.29986000009</v>
      </c>
      <c r="F5" s="57">
        <v>212396.47873000003</v>
      </c>
      <c r="G5" s="57">
        <v>665723.05791000021</v>
      </c>
      <c r="H5" s="57">
        <v>6.2272832351933483</v>
      </c>
    </row>
    <row r="6" spans="1:10" ht="11.25" customHeight="1">
      <c r="C6" s="68" t="str">
        <f>+IF(Índice!$D$2=1,"Impostos diretos","Direct taxes")</f>
        <v>Impostos diretos</v>
      </c>
      <c r="D6" s="56">
        <v>109262.36337000001</v>
      </c>
      <c r="E6" s="56">
        <v>0</v>
      </c>
      <c r="F6" s="56">
        <v>0</v>
      </c>
      <c r="G6" s="56">
        <v>109262.36337000001</v>
      </c>
      <c r="H6" s="56">
        <v>2.3165594779288368</v>
      </c>
    </row>
    <row r="7" spans="1:10">
      <c r="C7" s="68" t="str">
        <f>+IF(Índice!$D$2=1,"Impostos indiretos","Indirect taxes")</f>
        <v>Impostos indiretos</v>
      </c>
      <c r="D7" s="56">
        <v>334034.46204000001</v>
      </c>
      <c r="E7" s="56">
        <v>0</v>
      </c>
      <c r="F7" s="56">
        <v>0</v>
      </c>
      <c r="G7" s="56">
        <v>334034.46204000001</v>
      </c>
      <c r="H7" s="56">
        <v>6.6175687495347191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139077.62606000001</v>
      </c>
      <c r="E9" s="56">
        <v>297950.29986000009</v>
      </c>
      <c r="F9" s="56">
        <v>212396.47873000003</v>
      </c>
      <c r="G9" s="56">
        <v>194080.02702000015</v>
      </c>
      <c r="H9" s="56">
        <v>-3.826363815971956</v>
      </c>
    </row>
    <row r="10" spans="1:10">
      <c r="C10" s="69" t="str">
        <f>+IF(Índice!$D$2=1,"Transferências correntes","Current transfers")</f>
        <v>Transferências correntes</v>
      </c>
      <c r="D10" s="56">
        <v>118998.58519999999</v>
      </c>
      <c r="E10" s="56">
        <v>287134.11187000008</v>
      </c>
      <c r="F10" s="56">
        <v>189251.22928000003</v>
      </c>
      <c r="G10" s="56">
        <v>140039.54872000008</v>
      </c>
      <c r="H10" s="56">
        <v>-5.6127266817441956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107192.4</v>
      </c>
      <c r="E11" s="56">
        <v>806.82</v>
      </c>
      <c r="F11" s="56">
        <v>5.3624900000000002</v>
      </c>
      <c r="G11" s="56">
        <v>108004.58249</v>
      </c>
      <c r="H11" s="56">
        <v>-14.159318490143068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268109.47960999998</v>
      </c>
      <c r="F12" s="56">
        <v>187234.89802000005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28346.205479999961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16616.886959999996</v>
      </c>
      <c r="E14" s="57">
        <v>6517.0060000000003</v>
      </c>
      <c r="F14" s="57">
        <v>23530.162909999995</v>
      </c>
      <c r="G14" s="57">
        <v>40207.686409999995</v>
      </c>
      <c r="H14" s="57">
        <v>-58.571609996032095</v>
      </c>
    </row>
    <row r="15" spans="1:10">
      <c r="C15" s="68" t="str">
        <f>+IF(Índice!$D$2=1,"Venda de bens de investimento","Sale of investment goods")</f>
        <v>Venda de bens de investimento</v>
      </c>
      <c r="D15" s="56">
        <v>388.25354999999996</v>
      </c>
      <c r="E15" s="56">
        <v>0</v>
      </c>
      <c r="F15" s="56">
        <v>68.392600000000002</v>
      </c>
      <c r="G15" s="56">
        <v>456.64614999999998</v>
      </c>
      <c r="H15" s="56">
        <v>-67.16333231398464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12756.755429999999</v>
      </c>
      <c r="E16" s="56">
        <v>6326.8739000000005</v>
      </c>
      <c r="F16" s="56">
        <v>23443.681149999997</v>
      </c>
      <c r="G16" s="56">
        <v>35627.920389999992</v>
      </c>
      <c r="H16" s="56">
        <v>-59.724743111144427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1082.6229099999998</v>
      </c>
      <c r="E17" s="56">
        <v>0</v>
      </c>
      <c r="F17" s="56">
        <v>0</v>
      </c>
      <c r="G17" s="56">
        <v>1082.6229099999998</v>
      </c>
      <c r="H17" s="56">
        <v>-97.708918339851621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1541.2934800000003</v>
      </c>
      <c r="F18" s="56">
        <v>5358.0966100000005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443.02063000000271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598991.33843000012</v>
      </c>
      <c r="E20" s="57">
        <v>304467.30586000008</v>
      </c>
      <c r="F20" s="57">
        <v>235926.64164000002</v>
      </c>
      <c r="G20" s="57">
        <v>705930.74432000017</v>
      </c>
      <c r="H20" s="57">
        <v>-2.4621178022833923</v>
      </c>
    </row>
    <row r="21" spans="3:8" ht="20.25" customHeight="1">
      <c r="C21" s="220" t="str">
        <f>+IF(Índice!$D$2=1,"Despesa corrente","Current expenditure")</f>
        <v>Despesa corrente</v>
      </c>
      <c r="D21" s="220">
        <v>583931.33583000058</v>
      </c>
      <c r="E21" s="220">
        <v>286696.15393000009</v>
      </c>
      <c r="F21" s="220">
        <v>192479.95345000009</v>
      </c>
      <c r="G21" s="220">
        <v>636109.27106000087</v>
      </c>
      <c r="H21" s="220">
        <v>11.098865439318661</v>
      </c>
    </row>
    <row r="22" spans="3:8" ht="10.5" customHeight="1">
      <c r="C22" s="68" t="str">
        <f>+IF(Índice!$D$2=1,"Consumo público","Public consumption")</f>
        <v>Consumo público</v>
      </c>
      <c r="D22" s="56">
        <v>263910.76715000044</v>
      </c>
      <c r="E22" s="56">
        <v>71596.164379999973</v>
      </c>
      <c r="F22" s="56">
        <v>186149.81810000009</v>
      </c>
      <c r="G22" s="56">
        <v>521656.7496300005</v>
      </c>
      <c r="H22" s="56">
        <v>12.918246272388224</v>
      </c>
    </row>
    <row r="23" spans="3:8">
      <c r="C23" s="69" t="str">
        <f>+IF(Índice!$D$2=1,"Despesas com o pessoal","Compensation of employees")</f>
        <v>Despesas com o pessoal</v>
      </c>
      <c r="D23" s="56">
        <v>186922.9232800004</v>
      </c>
      <c r="E23" s="56">
        <v>25273.418059999993</v>
      </c>
      <c r="F23" s="56">
        <v>119640.1684100001</v>
      </c>
      <c r="G23" s="56">
        <v>331836.50975000049</v>
      </c>
      <c r="H23" s="56">
        <v>6.0121245415693636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76987.843870000026</v>
      </c>
      <c r="E24" s="56">
        <v>46322.746319999984</v>
      </c>
      <c r="F24" s="56">
        <v>66509.649689999977</v>
      </c>
      <c r="G24" s="56">
        <v>189820.23988000001</v>
      </c>
      <c r="H24" s="56">
        <v>27.430457173538425</v>
      </c>
    </row>
    <row r="25" spans="3:8">
      <c r="C25" s="68" t="str">
        <f>+IF(Índice!$D$2=1,"Subsídios","Subsidies")</f>
        <v>Subsídios</v>
      </c>
      <c r="D25" s="56">
        <v>3202.5353399999999</v>
      </c>
      <c r="E25" s="56">
        <v>13383.47732</v>
      </c>
      <c r="F25" s="56">
        <v>0</v>
      </c>
      <c r="G25" s="56">
        <v>16573.103869999999</v>
      </c>
      <c r="H25" s="56">
        <v>14.11571099587745</v>
      </c>
    </row>
    <row r="26" spans="3:8">
      <c r="C26" s="68" t="str">
        <f>+IF(Índice!$D$2=1,"Juros e outros encargos","Interests and other charges")</f>
        <v>Juros e outros encargos</v>
      </c>
      <c r="D26" s="56">
        <v>42372.326150000001</v>
      </c>
      <c r="E26" s="56">
        <v>1102.6641300000001</v>
      </c>
      <c r="F26" s="56">
        <v>113.41822000000001</v>
      </c>
      <c r="G26" s="56">
        <v>43588.408499999998</v>
      </c>
      <c r="H26" s="56">
        <v>-3.8962741032328552</v>
      </c>
    </row>
    <row r="27" spans="3:8">
      <c r="C27" s="68" t="str">
        <f>+IF(Índice!$D$2=1,"Transferências correntes","Current transfers")</f>
        <v>Transferências correntes</v>
      </c>
      <c r="D27" s="56">
        <v>274445.70719000016</v>
      </c>
      <c r="E27" s="56">
        <v>200613.84810000009</v>
      </c>
      <c r="F27" s="56">
        <v>6216.7171300000009</v>
      </c>
      <c r="G27" s="56">
        <v>54291.009060000244</v>
      </c>
      <c r="H27" s="56">
        <v>7.0714201334180382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1354.4838099999999</v>
      </c>
      <c r="F28" s="56">
        <v>0</v>
      </c>
      <c r="G28" s="56">
        <v>1354.4838099999999</v>
      </c>
      <c r="H28" s="56">
        <v>24.154726962434658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247410.43647000004</v>
      </c>
      <c r="E29" s="56">
        <v>179574.82689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32869.007019999997</v>
      </c>
      <c r="E31" s="57">
        <v>6652.5273300000008</v>
      </c>
      <c r="F31" s="57">
        <v>23126.399390000002</v>
      </c>
      <c r="G31" s="57">
        <v>56191.564280000006</v>
      </c>
      <c r="H31" s="57">
        <v>-4.7875406978258201</v>
      </c>
    </row>
    <row r="32" spans="3:8">
      <c r="C32" s="68" t="str">
        <f>+IF(Índice!$D$2=1,"Investimento","Investment")</f>
        <v>Investimento</v>
      </c>
      <c r="D32" s="56">
        <v>16297.691749999998</v>
      </c>
      <c r="E32" s="56">
        <v>1427.7894500000002</v>
      </c>
      <c r="F32" s="56">
        <v>22580.338480000002</v>
      </c>
      <c r="G32" s="56">
        <v>40305.819680000001</v>
      </c>
      <c r="H32" s="56">
        <v>-20.318464967301487</v>
      </c>
    </row>
    <row r="33" spans="3:8">
      <c r="C33" s="68" t="str">
        <f>+IF(Índice!$D$2=1,"Transferências capital","Capital transfers")</f>
        <v>Transferências capital</v>
      </c>
      <c r="D33" s="56">
        <v>16571.315269999999</v>
      </c>
      <c r="E33" s="56">
        <v>5224.7378800000006</v>
      </c>
      <c r="F33" s="56">
        <v>546.06091000000004</v>
      </c>
      <c r="G33" s="56">
        <v>15885.744600000002</v>
      </c>
      <c r="H33" s="56">
        <v>88.367247781419707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810.75549000000001</v>
      </c>
      <c r="E34" s="56">
        <v>0</v>
      </c>
      <c r="F34" s="56">
        <v>0</v>
      </c>
      <c r="G34" s="56">
        <v>810.75549000000001</v>
      </c>
      <c r="H34" s="56">
        <v>-68.467112535370276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6415.3694599999981</v>
      </c>
      <c r="E35" s="56">
        <v>0</v>
      </c>
      <c r="F35" s="56">
        <v>41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616800.3428500006</v>
      </c>
      <c r="E38" s="86">
        <v>293348.68126000004</v>
      </c>
      <c r="F38" s="86">
        <v>215606.35284000009</v>
      </c>
      <c r="G38" s="86">
        <v>692300.83534000092</v>
      </c>
      <c r="H38" s="86">
        <v>9.6143808956358221</v>
      </c>
    </row>
    <row r="39" spans="3:8" ht="17.25" customHeight="1">
      <c r="C39" s="138" t="str">
        <f>+IF(Índice!$D$2=1,"Saldo global","Overall balance")</f>
        <v>Saldo global</v>
      </c>
      <c r="D39" s="139">
        <v>-17809.004420000478</v>
      </c>
      <c r="E39" s="139">
        <v>11118.624600000039</v>
      </c>
      <c r="F39" s="139">
        <v>20320.288799999922</v>
      </c>
      <c r="G39" s="139">
        <v>13629.908979999251</v>
      </c>
      <c r="H39" s="139">
        <v>-85.212504416458785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-1556.8843600004911</v>
      </c>
      <c r="E41" s="19">
        <v>11254.145929999999</v>
      </c>
      <c r="F41" s="19">
        <v>19916.525279999943</v>
      </c>
      <c r="G41" s="19">
        <v>29613.786849999335</v>
      </c>
      <c r="H41" s="19">
        <v>-45.296839691358393</v>
      </c>
    </row>
    <row r="42" spans="3:8">
      <c r="C42" s="68" t="str">
        <f>+IF(Índice!$D$2=1,"Despesa corrente primária","Primary current expenditure")</f>
        <v>Despesa corrente primária</v>
      </c>
      <c r="D42" s="19">
        <v>541559.0096800006</v>
      </c>
      <c r="E42" s="19">
        <v>285593.4898000001</v>
      </c>
      <c r="F42" s="19">
        <v>192366.5352300001</v>
      </c>
      <c r="G42" s="19">
        <v>592520.86256000085</v>
      </c>
      <c r="H42" s="19">
        <v>12.388899180690016</v>
      </c>
    </row>
    <row r="43" spans="3:8">
      <c r="C43" s="68" t="str">
        <f>+IF(Índice!$D$2=1,"Saldo corrente primário","Primary current balance")</f>
        <v>Saldo corrente primário</v>
      </c>
      <c r="D43" s="19">
        <v>40815.441789999488</v>
      </c>
      <c r="E43" s="19">
        <v>12356.810059999989</v>
      </c>
      <c r="F43" s="19">
        <v>20029.943499999936</v>
      </c>
      <c r="G43" s="19">
        <v>73202.195349999354</v>
      </c>
      <c r="H43" s="19">
        <v>-26.423305736231672</v>
      </c>
    </row>
    <row r="44" spans="3:8">
      <c r="C44" s="68" t="str">
        <f>+IF(Índice!$D$2=1,"Saldo de capital","Capital balance")</f>
        <v>Saldo de capital</v>
      </c>
      <c r="D44" s="19">
        <v>-16252.120060000001</v>
      </c>
      <c r="E44" s="19">
        <v>-135.52133000000049</v>
      </c>
      <c r="F44" s="19">
        <v>403.76351999999315</v>
      </c>
      <c r="G44" s="19">
        <v>-15983.877870000011</v>
      </c>
      <c r="H44" s="19">
        <v>-142.02254722802522</v>
      </c>
    </row>
    <row r="45" spans="3:8">
      <c r="C45" s="68" t="str">
        <f t="array" ref="C45">+IF(Índice!$D$2=1,"Despesa primária","Primary expenditure")</f>
        <v>Despesa primária</v>
      </c>
      <c r="D45" s="19">
        <v>574428.01670000062</v>
      </c>
      <c r="E45" s="19">
        <v>292246.01713000005</v>
      </c>
      <c r="F45" s="19">
        <v>215492.9346200001</v>
      </c>
      <c r="G45" s="19">
        <v>648712.4268400009</v>
      </c>
      <c r="H45" s="19">
        <v>10.659689246713766</v>
      </c>
    </row>
    <row r="46" spans="3:8">
      <c r="C46" s="221" t="str">
        <f>+IF(Índice!$D$2=1,"Saldo primário","Primary balance")</f>
        <v>Saldo primário</v>
      </c>
      <c r="D46" s="132">
        <v>24563.321729999501</v>
      </c>
      <c r="E46" s="132">
        <v>12221.288730000029</v>
      </c>
      <c r="F46" s="132">
        <v>20433.707019999914</v>
      </c>
      <c r="G46" s="132">
        <v>57218.31747999927</v>
      </c>
      <c r="H46" s="132">
        <v>-58.394981474818344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39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39"/>
      <c r="E48" s="339"/>
      <c r="F48" s="339"/>
      <c r="G48" s="339"/>
    </row>
    <row r="49" spans="3:7" ht="9" customHeight="1">
      <c r="C49" s="339"/>
      <c r="D49" s="339"/>
      <c r="E49" s="339"/>
      <c r="F49" s="339"/>
      <c r="G49" s="339"/>
    </row>
    <row r="50" spans="3:7" ht="9" customHeight="1">
      <c r="C50" s="339"/>
      <c r="D50" s="339"/>
      <c r="E50" s="339"/>
      <c r="F50" s="339"/>
      <c r="G50" s="339"/>
    </row>
    <row r="51" spans="3:7" ht="9" customHeight="1">
      <c r="C51" s="339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39"/>
      <c r="E51" s="339"/>
      <c r="F51" s="339"/>
      <c r="G51" s="339"/>
    </row>
    <row r="52" spans="3:7" ht="9" customHeight="1">
      <c r="C52" s="339"/>
      <c r="D52" s="339"/>
      <c r="E52" s="339"/>
      <c r="F52" s="339"/>
      <c r="G52" s="339"/>
    </row>
    <row r="53" spans="3:7" ht="9" customHeight="1">
      <c r="C53" s="339"/>
      <c r="D53" s="339"/>
      <c r="E53" s="339"/>
      <c r="F53" s="339"/>
      <c r="G53" s="339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QUADRO II - Execução orçamental do Gov. Regional (janeiro-maio)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2025</v>
      </c>
      <c r="E3" s="156">
        <v>2026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567084.95178999996</v>
      </c>
      <c r="E5" s="225">
        <v>582374.45146999997</v>
      </c>
      <c r="F5" s="225">
        <v>2.6961568335994057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420090.06189999997</v>
      </c>
      <c r="E6" s="231">
        <v>443296.82541000005</v>
      </c>
      <c r="F6" s="231">
        <v>5.5242353044582027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106788.54324999999</v>
      </c>
      <c r="E7" s="231">
        <v>109262.36337000001</v>
      </c>
      <c r="F7" s="231">
        <v>2.3165594779288368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313301.51864999998</v>
      </c>
      <c r="E8" s="231">
        <v>334034.46204000001</v>
      </c>
      <c r="F8" s="231">
        <v>6.6175687495346969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146994.88988999999</v>
      </c>
      <c r="E9" s="231">
        <v>139077.62605999998</v>
      </c>
      <c r="F9" s="231">
        <v>-5.3860809963698024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70496.735950000002</v>
      </c>
      <c r="E10" s="232">
        <v>16616.886959999996</v>
      </c>
      <c r="F10" s="232">
        <v>-76.428856263947353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637581.68773999996</v>
      </c>
      <c r="E12" s="232">
        <v>598991.33843</v>
      </c>
      <c r="F12" s="232">
        <v>-6.0526125596218172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539324.7919800001</v>
      </c>
      <c r="E14" s="232">
        <v>583931.33583000035</v>
      </c>
      <c r="F14" s="232">
        <v>8.2708127854160374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177113.2641700001</v>
      </c>
      <c r="E15" s="231">
        <v>186922.92328000034</v>
      </c>
      <c r="F15" s="231">
        <v>5.5386360564076975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61066.483249999983</v>
      </c>
      <c r="E16" s="231">
        <v>76440.687980000032</v>
      </c>
      <c r="F16" s="231">
        <v>25.176175066541195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44970.735419999997</v>
      </c>
      <c r="E17" s="231">
        <v>42372.326150000001</v>
      </c>
      <c r="F17" s="231">
        <v>-5.7780003945507978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254689.33108000003</v>
      </c>
      <c r="E18" s="231">
        <v>274445.70719000004</v>
      </c>
      <c r="F18" s="231">
        <v>7.7570489608747462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226504.84393000003</v>
      </c>
      <c r="E19" s="231">
        <v>247410.43647000004</v>
      </c>
      <c r="F19" s="231">
        <v>9.2296447957911134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28184.487149999997</v>
      </c>
      <c r="E20" s="231">
        <v>27035.270720000004</v>
      </c>
      <c r="F20" s="231">
        <v>-4.0774785926874451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1113.3016500000001</v>
      </c>
      <c r="E21" s="231">
        <v>3202.5353399999999</v>
      </c>
      <c r="F21" s="231">
        <v>187.66106113289237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371.67641000000009</v>
      </c>
      <c r="E22" s="231">
        <v>547.15589000000011</v>
      </c>
      <c r="F22" s="231">
        <v>47.212972165761059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38902.312890000001</v>
      </c>
      <c r="E23" s="232">
        <v>32869.007019999997</v>
      </c>
      <c r="F23" s="232">
        <v>-15.508861612058267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25297.585620000002</v>
      </c>
      <c r="E24" s="231">
        <v>16297.691749999998</v>
      </c>
      <c r="F24" s="231">
        <v>-35.576098071923447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13604.727270000003</v>
      </c>
      <c r="E25" s="231">
        <v>16571.315269999999</v>
      </c>
      <c r="F25" s="231">
        <v>21.805567587831518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10219.625030000003</v>
      </c>
      <c r="E26" s="231">
        <v>7226.1249499999976</v>
      </c>
      <c r="F26" s="231">
        <v>-29.291682143058082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3385.1022399999997</v>
      </c>
      <c r="E27" s="231">
        <v>9345.1903199999997</v>
      </c>
      <c r="F27" s="231">
        <v>176.0681851665432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578227.10487000016</v>
      </c>
      <c r="E29" s="235">
        <v>616800.34285000036</v>
      </c>
      <c r="F29" s="235">
        <v>6.6709494686646442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59354.582869999867</v>
      </c>
      <c r="E31" s="139">
        <v>-17809.004420000376</v>
      </c>
      <c r="F31" s="139">
        <v>-130.00443025436837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27760.159809999866</v>
      </c>
      <c r="E33" s="19">
        <v>-1556.8843600003747</v>
      </c>
      <c r="F33" s="19">
        <v>-105.6083407684114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31594.423060000001</v>
      </c>
      <c r="E34" s="19">
        <v>-16252.120060000001</v>
      </c>
      <c r="F34" s="19">
        <v>-151.4398380661552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104325.31828999986</v>
      </c>
      <c r="E35" s="19">
        <v>24563.321729999625</v>
      </c>
      <c r="F35" s="19">
        <v>-76.455071374218704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26758.144</v>
      </c>
      <c r="E36" s="106">
        <v>5000</v>
      </c>
      <c r="F36" s="106">
        <v>-81.314100110979297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40"/>
      <c r="D38" s="340"/>
      <c r="E38" s="340"/>
      <c r="F38" s="340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:E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QUADRO III - Execução orçamental do Gov. Regional (maio)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2025</v>
      </c>
      <c r="E3" s="292">
        <v>2026</v>
      </c>
      <c r="F3" s="292" t="s">
        <v>101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90032.636229999975</v>
      </c>
      <c r="E5" s="225">
        <v>107971.52546000006</v>
      </c>
      <c r="F5" s="225">
        <v>19.92487389147739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87139.02344999995</v>
      </c>
      <c r="E6" s="231">
        <v>93037.017590000061</v>
      </c>
      <c r="F6" s="231">
        <v>6.7684877641351671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21574.066380000011</v>
      </c>
      <c r="E7" s="231">
        <v>21131.494060000019</v>
      </c>
      <c r="F7" s="231">
        <v>-2.051408910145347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65564.957069999931</v>
      </c>
      <c r="E8" s="231">
        <v>71905.523530000035</v>
      </c>
      <c r="F8" s="231">
        <v>9.6706636339754617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2893.6127800000218</v>
      </c>
      <c r="E9" s="231">
        <v>14934.507869999989</v>
      </c>
      <c r="F9" s="231">
        <v>416.11977847291223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1073.3642300000006</v>
      </c>
      <c r="E10" s="232">
        <v>5804.240319999999</v>
      </c>
      <c r="F10" s="232">
        <v>440.75216573967583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91106.000459999981</v>
      </c>
      <c r="E12" s="232">
        <v>113775.76578000006</v>
      </c>
      <c r="F12" s="232">
        <v>24.882845482777192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128707.53572999986</v>
      </c>
      <c r="E14" s="232">
        <v>111304.74344000082</v>
      </c>
      <c r="F14" s="232">
        <v>-13.521191429308599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34977.162510000082</v>
      </c>
      <c r="E15" s="231">
        <v>36038.478110000608</v>
      </c>
      <c r="F15" s="231">
        <v>3.0343101722362098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8300.574980000034</v>
      </c>
      <c r="E16" s="231">
        <v>7416.1347200000582</v>
      </c>
      <c r="F16" s="231">
        <v>-10.655168613391307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21636.764669999982</v>
      </c>
      <c r="E17" s="231">
        <v>19525.346310000004</v>
      </c>
      <c r="F17" s="231">
        <v>-9.7584754107323697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63719.872999999759</v>
      </c>
      <c r="E18" s="231">
        <v>48189.391250000146</v>
      </c>
      <c r="F18" s="231">
        <v>-24.373058229415602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10.0525</v>
      </c>
      <c r="E19" s="231">
        <v>43.426100000000091</v>
      </c>
      <c r="F19" s="231">
        <v>331.99303655807103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63.108069999999834</v>
      </c>
      <c r="E20" s="231">
        <v>91.966949999999954</v>
      </c>
      <c r="F20" s="231">
        <v>45.729302132041425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9881.2634799999905</v>
      </c>
      <c r="E21" s="232">
        <v>7767.5191499999928</v>
      </c>
      <c r="F21" s="232">
        <v>-21.391437788075251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6699.4545799999978</v>
      </c>
      <c r="E22" s="231">
        <v>3300.1437799999958</v>
      </c>
      <c r="F22" s="231">
        <v>-50.740112637647037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3181.8088999999927</v>
      </c>
      <c r="E23" s="231">
        <v>4467.375369999997</v>
      </c>
      <c r="F23" s="231">
        <v>40.403635491748325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138588.79920999985</v>
      </c>
      <c r="E25" s="299">
        <v>119072.26259000081</v>
      </c>
      <c r="F25" s="299">
        <v>-14.082333299119043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-47482.798749999871</v>
      </c>
      <c r="E27" s="286">
        <v>-5296.4968100007536</v>
      </c>
      <c r="F27" s="286">
        <v>88.845440981928704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-38674.899499999883</v>
      </c>
      <c r="E29" s="19">
        <v>-3333.217980000758</v>
      </c>
      <c r="F29" s="19">
        <v>91.381443719069594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-8807.8992499999895</v>
      </c>
      <c r="E30" s="19">
        <v>-1963.2788299999938</v>
      </c>
      <c r="F30" s="19">
        <v>77.710021717153538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-25846.034079999888</v>
      </c>
      <c r="E31" s="19">
        <v>14228.849499999251</v>
      </c>
      <c r="F31" s="19">
        <v>155.05235138186939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40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40"/>
      <c r="E33" s="340"/>
      <c r="F33" s="340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QUADRO IV - Execução orçamental da receita fiscal do Gov. Reg. (janeiro-maio)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2025</v>
      </c>
      <c r="E3" s="156">
        <v>2026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420090.06189999997</v>
      </c>
      <c r="E5" s="33">
        <v>443296.82541000005</v>
      </c>
      <c r="F5" s="270">
        <v>0.32927355573519396</v>
      </c>
      <c r="G5" s="270">
        <v>5.5242353044582027E-2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106788.54324999999</v>
      </c>
      <c r="E7" s="70">
        <v>109262.36337000001</v>
      </c>
      <c r="F7" s="271">
        <v>0.2247007948134371</v>
      </c>
      <c r="G7" s="271">
        <v>2.3165594779288368E-2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94159.061879999994</v>
      </c>
      <c r="E8" s="70">
        <v>91515.190239999996</v>
      </c>
      <c r="F8" s="271">
        <v>0.34188790358206583</v>
      </c>
      <c r="G8" s="271">
        <v>-2.8078780599677722E-2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12629.48137</v>
      </c>
      <c r="E9" s="70">
        <v>17747.173129999999</v>
      </c>
      <c r="F9" s="271">
        <v>8.1192617607528203E-2</v>
      </c>
      <c r="G9" s="271">
        <v>0.40521788742303677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313301.51864999998</v>
      </c>
      <c r="E11" s="70">
        <v>334034.46204000001</v>
      </c>
      <c r="F11" s="271">
        <v>0.38839851295506034</v>
      </c>
      <c r="G11" s="271">
        <v>6.6175687495346969E-2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15299.79335</v>
      </c>
      <c r="E12" s="70">
        <v>21313.740570000002</v>
      </c>
      <c r="F12" s="271">
        <v>0.34101984912000005</v>
      </c>
      <c r="G12" s="271">
        <v>0.39307375481643358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250536.43096999999</v>
      </c>
      <c r="E13" s="70">
        <v>267292.91128999996</v>
      </c>
      <c r="F13" s="271">
        <v>0.41169806666204584</v>
      </c>
      <c r="G13" s="271">
        <v>6.6882410095506106E-2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2499.2095399999998</v>
      </c>
      <c r="E14" s="70">
        <v>2045.56954</v>
      </c>
      <c r="F14" s="271">
        <v>0.27729016402331569</v>
      </c>
      <c r="G14" s="271">
        <v>-0.18151339163021918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15511.468969999998</v>
      </c>
      <c r="E15" s="70">
        <v>12332.966920000001</v>
      </c>
      <c r="F15" s="271">
        <v>0.2366226889054858</v>
      </c>
      <c r="G15" s="271">
        <v>-0.20491302636438813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3893.2996000000003</v>
      </c>
      <c r="E16" s="70">
        <v>3172.4591</v>
      </c>
      <c r="F16" s="271">
        <v>0.26608196654763488</v>
      </c>
      <c r="G16" s="271">
        <v>-0.18514899290052078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25561.316219999997</v>
      </c>
      <c r="E17" s="70">
        <v>27876.814620000001</v>
      </c>
      <c r="F17" s="271">
        <v>0.36267452154017638</v>
      </c>
      <c r="G17" s="271">
        <v>9.0586039469606083E-2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14250.475199999999</v>
      </c>
      <c r="E18" s="70">
        <v>14510.17412</v>
      </c>
      <c r="F18" s="271">
        <v>0.33033149130016093</v>
      </c>
      <c r="G18" s="271">
        <v>1.8223877895664931E-2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3092.3131699999999</v>
      </c>
      <c r="E19" s="70">
        <v>3608.4488000000001</v>
      </c>
      <c r="F19" s="271">
        <v>0.35744203185672402</v>
      </c>
      <c r="G19" s="271">
        <v>0.1669092364276934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217491.62583999999</v>
      </c>
      <c r="E21" s="33">
        <v>155694.51301999998</v>
      </c>
      <c r="F21" s="270">
        <v>0.21685342334942279</v>
      </c>
      <c r="G21" s="270">
        <v>-0.2841355963997515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637581.68773999996</v>
      </c>
      <c r="E23" s="139">
        <v>598991.33843</v>
      </c>
      <c r="F23" s="274">
        <v>0.29017263148953587</v>
      </c>
      <c r="G23" s="274">
        <v>-6.0526125596218172E-2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QUADRO V - Execução orçamental da receita não fiscal do Gov. Reg. (janeiro-maio)</v>
      </c>
      <c r="D2" s="243"/>
      <c r="E2" s="243"/>
      <c r="F2" s="49"/>
      <c r="G2" s="49" t="str">
        <f>+IF(Índice!$D$2=1,"€ Milhares","€ Thousands")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2025</v>
      </c>
      <c r="E3" s="156">
        <v>2026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420090.06189999997</v>
      </c>
      <c r="E5" s="41">
        <v>443296.82541000005</v>
      </c>
      <c r="F5" s="275">
        <v>0.32927355573519396</v>
      </c>
      <c r="G5" s="42">
        <v>5.5242353044582027E-2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217491.62583999999</v>
      </c>
      <c r="E7" s="41">
        <v>155694.51301999998</v>
      </c>
      <c r="F7" s="275">
        <v>0.21685342334942279</v>
      </c>
      <c r="G7" s="42">
        <v>-0.2841355963997515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146994.88988999999</v>
      </c>
      <c r="E8" s="41">
        <v>139077.62605999998</v>
      </c>
      <c r="F8" s="275">
        <v>0.28566917706061579</v>
      </c>
      <c r="G8" s="42">
        <v>-5.386080996369802E-2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12838.182300000002</v>
      </c>
      <c r="E10" s="71">
        <v>8914.909999999998</v>
      </c>
      <c r="F10" s="277">
        <v>0.18504166603359562</v>
      </c>
      <c r="G10" s="43">
        <v>-0.30559406373283882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3019.1166599999997</v>
      </c>
      <c r="E11" s="71">
        <v>4992.01458</v>
      </c>
      <c r="F11" s="277">
        <v>0.81869508715501993</v>
      </c>
      <c r="G11" s="43">
        <v>0.65346859435368776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125420.22564</v>
      </c>
      <c r="E12" s="71">
        <v>118998.58519999999</v>
      </c>
      <c r="F12" s="277">
        <v>0.28778873455452747</v>
      </c>
      <c r="G12" s="43">
        <v>-5.1200995750337541E-2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4697.4226999999992</v>
      </c>
      <c r="E13" s="47">
        <v>4799.8430799999987</v>
      </c>
      <c r="F13" s="277">
        <v>0.29012107148115751</v>
      </c>
      <c r="G13" s="43">
        <v>2.1803526431632303E-2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1019.94259</v>
      </c>
      <c r="E14" s="71">
        <v>1372.2731999999999</v>
      </c>
      <c r="F14" s="277">
        <v>0.54110716402337966</v>
      </c>
      <c r="G14" s="43">
        <v>0.34544160961059567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70496.735950000002</v>
      </c>
      <c r="E17" s="41">
        <v>16616.886959999996</v>
      </c>
      <c r="F17" s="275">
        <v>7.189640295180591E-2</v>
      </c>
      <c r="G17" s="42">
        <v>-0.76428856263947353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25.525230000000001</v>
      </c>
      <c r="E18" s="71">
        <v>388.25354999999996</v>
      </c>
      <c r="F18" s="277">
        <v>4.2496755992042529E-2</v>
      </c>
      <c r="G18" s="43">
        <v>14.210579885078408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68055.224359999993</v>
      </c>
      <c r="E19" s="44">
        <v>12756.755429999999</v>
      </c>
      <c r="F19" s="277">
        <v>5.8567873983796676E-2</v>
      </c>
      <c r="G19" s="43">
        <v>-0.81255288554308425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3.71021</v>
      </c>
      <c r="E20" s="71">
        <v>0.32080999999999998</v>
      </c>
      <c r="F20" s="277">
        <v>1.4339158807491171E-2</v>
      </c>
      <c r="G20" s="43">
        <v>-0.91353319623417539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2412.2761499999997</v>
      </c>
      <c r="E21" s="47">
        <v>3471.55717</v>
      </c>
      <c r="F21" s="277">
        <v>0.8359724898181119</v>
      </c>
      <c r="G21" s="43">
        <v>0.43912096050860527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637581.68773999996</v>
      </c>
      <c r="E23" s="286">
        <v>598991.33843</v>
      </c>
      <c r="F23" s="287">
        <v>0.29017263148953587</v>
      </c>
      <c r="G23" s="287">
        <v>-6.0526125596218172E-2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QUADRO VI - Execução orçamental das despesas do Governo Regional (janeiro-maio)</v>
      </c>
      <c r="D2" s="205"/>
      <c r="E2" s="205"/>
      <c r="F2" s="205"/>
      <c r="G2" s="54"/>
      <c r="H2" s="52" t="str">
        <f>+IF(Índice!$D$2=1,"€ Milhares","€ Thousands")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42">
        <v>2025</v>
      </c>
      <c r="E3" s="344">
        <v>2026</v>
      </c>
      <c r="F3" s="153">
        <v>2025</v>
      </c>
      <c r="G3" s="153">
        <v>2026</v>
      </c>
      <c r="H3" s="345" t="str">
        <f>+IF(Índice!$D$2=1,"VH (%)","yoy change (%)")</f>
        <v>VH (%)</v>
      </c>
    </row>
    <row r="4" spans="1:15" ht="12" customHeight="1">
      <c r="C4" s="132"/>
      <c r="D4" s="343"/>
      <c r="E4" s="343"/>
      <c r="F4" s="341" t="str">
        <f>+IF(Índice!$D$2=1,"Grau de Execução (%)","Execution level (%)")</f>
        <v>Grau de Execução (%)</v>
      </c>
      <c r="G4" s="341" t="str">
        <f>+IF(Índice!$D$2="PT","Grau de Execução (%)","Execution Level (%)")</f>
        <v>Execution Level (%)</v>
      </c>
      <c r="H4" s="346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539324.7919800001</v>
      </c>
      <c r="E5" s="253">
        <v>583931.33583000035</v>
      </c>
      <c r="F5" s="253">
        <v>33.983749391676795</v>
      </c>
      <c r="G5" s="253">
        <v>31.883022138611821</v>
      </c>
      <c r="H5" s="253">
        <v>8.2708127854160285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177113.2641700001</v>
      </c>
      <c r="E6" s="74">
        <v>186922.92328000034</v>
      </c>
      <c r="F6" s="74">
        <v>36.358609913959718</v>
      </c>
      <c r="G6" s="74">
        <v>35.000907951521548</v>
      </c>
      <c r="H6" s="254">
        <v>5.5386360564076975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138840.61949999994</v>
      </c>
      <c r="E7" s="75">
        <v>143943.95823000034</v>
      </c>
      <c r="F7" s="75">
        <v>36.436203224740744</v>
      </c>
      <c r="G7" s="75">
        <v>34.3182712046181</v>
      </c>
      <c r="H7" s="254">
        <v>3.6756813304195881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10199.502209999999</v>
      </c>
      <c r="E8" s="75">
        <v>10594.959670000004</v>
      </c>
      <c r="F8" s="75">
        <v>69.780231554422983</v>
      </c>
      <c r="G8" s="75">
        <v>66.112420558713566</v>
      </c>
      <c r="H8" s="254">
        <v>3.8772231414615783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28073.142459999995</v>
      </c>
      <c r="E9" s="75">
        <v>32384.005379999984</v>
      </c>
      <c r="F9" s="75">
        <v>30.694138924162601</v>
      </c>
      <c r="G9" s="75">
        <v>32.847912173396274</v>
      </c>
      <c r="H9" s="254">
        <v>15.355826039576154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61066.483249999983</v>
      </c>
      <c r="E10" s="75">
        <v>76440.687980000032</v>
      </c>
      <c r="F10" s="75">
        <v>27.226758582399057</v>
      </c>
      <c r="G10" s="75">
        <v>32.447784075065513</v>
      </c>
      <c r="H10" s="254">
        <v>25.176175066541191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44970.735419999997</v>
      </c>
      <c r="E11" s="75">
        <v>42372.326150000001</v>
      </c>
      <c r="F11" s="75">
        <v>32.834764237324713</v>
      </c>
      <c r="G11" s="75">
        <v>20.635693165675832</v>
      </c>
      <c r="H11" s="254">
        <v>-5.7780003945508005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254689.33108000003</v>
      </c>
      <c r="E12" s="74">
        <v>274445.70719000004</v>
      </c>
      <c r="F12" s="74">
        <v>35.337659364795215</v>
      </c>
      <c r="G12" s="74">
        <v>32.732531238325699</v>
      </c>
      <c r="H12" s="254">
        <v>7.7570489608747568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226504.84393000003</v>
      </c>
      <c r="E13" s="74">
        <v>247410.43647000004</v>
      </c>
      <c r="F13" s="74">
        <v>37.355036931219885</v>
      </c>
      <c r="G13" s="74">
        <v>34.831829983025017</v>
      </c>
      <c r="H13" s="254">
        <v>9.2296447957911045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226504.84393000003</v>
      </c>
      <c r="E15" s="75">
        <v>247410.43647000004</v>
      </c>
      <c r="F15" s="75">
        <v>37.392493688575072</v>
      </c>
      <c r="G15" s="75">
        <v>34.889969465386564</v>
      </c>
      <c r="H15" s="254">
        <v>9.2296447957911045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28184.487149999997</v>
      </c>
      <c r="E18" s="75">
        <v>27035.270720000004</v>
      </c>
      <c r="F18" s="72">
        <v>24.642450552823238</v>
      </c>
      <c r="G18" s="72">
        <v>21.096659242657417</v>
      </c>
      <c r="H18" s="77">
        <v>-4.0774785926874433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1113.3016500000001</v>
      </c>
      <c r="E19" s="72">
        <v>3202.5353399999999</v>
      </c>
      <c r="F19" s="72">
        <v>9.7988898128663919</v>
      </c>
      <c r="G19" s="72">
        <v>27.023630670153327</v>
      </c>
      <c r="H19" s="77">
        <v>187.6610611328924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371.67641000000009</v>
      </c>
      <c r="E20" s="72">
        <v>547.15589000000011</v>
      </c>
      <c r="F20" s="72">
        <v>5.685076194339465</v>
      </c>
      <c r="G20" s="72">
        <v>8.8068052541206381</v>
      </c>
      <c r="H20" s="77">
        <v>47.212972165761066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494354.05656000011</v>
      </c>
      <c r="E22" s="78">
        <v>541559.00968000037</v>
      </c>
      <c r="F22" s="78">
        <v>34.092274036532636</v>
      </c>
      <c r="G22" s="78">
        <v>33.30323444684084</v>
      </c>
      <c r="H22" s="76">
        <v>9.548814760109277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38902.312890000001</v>
      </c>
      <c r="E24" s="78">
        <v>32869.007019999997</v>
      </c>
      <c r="F24" s="78">
        <v>11.473405560566558</v>
      </c>
      <c r="G24" s="78">
        <v>8.5992442440866679</v>
      </c>
      <c r="H24" s="76">
        <v>-15.508861612058263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25297.585620000002</v>
      </c>
      <c r="E25" s="72">
        <v>16297.691749999998</v>
      </c>
      <c r="F25" s="72">
        <v>14.010605600707549</v>
      </c>
      <c r="G25" s="72">
        <v>8.2766221471819552</v>
      </c>
      <c r="H25" s="77">
        <v>-35.576098071923447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13604.727270000003</v>
      </c>
      <c r="E26" s="59">
        <v>16571.315269999999</v>
      </c>
      <c r="F26" s="59">
        <v>8.6928480712978899</v>
      </c>
      <c r="G26" s="59">
        <v>8.9561631636282701</v>
      </c>
      <c r="H26" s="77">
        <v>21.805567587831515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10219.625030000003</v>
      </c>
      <c r="E27" s="59">
        <v>7226.1249499999976</v>
      </c>
      <c r="F27" s="59">
        <v>9.6683941087991609</v>
      </c>
      <c r="G27" s="59">
        <v>6.6811724468996498</v>
      </c>
      <c r="H27" s="77">
        <v>-29.291682143058082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2571.1425600000002</v>
      </c>
      <c r="E28" s="72">
        <v>810.75549000000001</v>
      </c>
      <c r="F28" s="72">
        <v>23.462830084597478</v>
      </c>
      <c r="G28" s="72">
        <v>8.3463592619305036</v>
      </c>
      <c r="H28" s="77">
        <v>-68.467112535370262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7648.4824700000017</v>
      </c>
      <c r="E29" s="72">
        <v>6415.3694599999981</v>
      </c>
      <c r="F29" s="72">
        <v>8.9692697817941784</v>
      </c>
      <c r="G29" s="72">
        <v>6.7248844172677611</v>
      </c>
      <c r="H29" s="77">
        <v>-16.122322497785674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578227.10487000016</v>
      </c>
      <c r="E33" s="142">
        <v>616800.34285000036</v>
      </c>
      <c r="F33" s="143">
        <v>30.021037830309083</v>
      </c>
      <c r="G33" s="143">
        <v>27.862720332616526</v>
      </c>
      <c r="H33" s="141">
        <v>6.6709494686646398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26758.144</v>
      </c>
      <c r="E36" s="150">
        <v>5000</v>
      </c>
      <c r="F36" s="150">
        <v>44.803625367020473</v>
      </c>
      <c r="G36" s="150">
        <v>45.966579722413336</v>
      </c>
      <c r="H36" s="128">
        <v>-81.314100110979297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90554.998560000007</v>
      </c>
      <c r="E37" s="150">
        <v>85313.69769999999</v>
      </c>
      <c r="F37" s="150">
        <v>19.526490808082471</v>
      </c>
      <c r="G37" s="150">
        <v>36.36553664320337</v>
      </c>
      <c r="H37" s="128">
        <v>-5.7879752010897905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QUADRO VII - Despesa do Governo Regional, por classificação funcional (janeiro-maio)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44">
        <v>2025</v>
      </c>
      <c r="E3" s="347">
        <v>2026</v>
      </c>
      <c r="F3" s="348" t="str">
        <f>+IF(Índice!$D$2=1,"Peso na estrutura
 em 2026","Weight in 2026 structure")</f>
        <v>Peso na estrutura
 em 2026</v>
      </c>
      <c r="M3" s="7"/>
      <c r="N3" s="7"/>
      <c r="P3" s="9"/>
      <c r="Q3" s="9"/>
    </row>
    <row r="4" spans="2:17" ht="13.5" customHeight="1">
      <c r="C4" s="134"/>
      <c r="D4" s="343"/>
      <c r="E4" s="343"/>
      <c r="F4" s="343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85278.114029999968</v>
      </c>
      <c r="E5" s="34">
        <v>91015.671950000018</v>
      </c>
      <c r="F5" s="34">
        <v>14.756099442074099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5447.3166600000013</v>
      </c>
      <c r="E7" s="34">
        <v>6593.8368700000001</v>
      </c>
      <c r="F7" s="34">
        <v>1.0690391058364823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83786.402970000039</v>
      </c>
      <c r="E8" s="34">
        <v>93013.502150000029</v>
      </c>
      <c r="F8" s="34">
        <v>15.080001693938746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8977.8266499999991</v>
      </c>
      <c r="E9" s="34">
        <v>530.88405</v>
      </c>
      <c r="F9" s="34">
        <v>8.6070647682682258E-2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19456.00997000001</v>
      </c>
      <c r="E10" s="34">
        <v>15387.826540000004</v>
      </c>
      <c r="F10" s="34">
        <v>2.4947824232552627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188079.14495999998</v>
      </c>
      <c r="E11" s="34">
        <v>207256.84099</v>
      </c>
      <c r="F11" s="34">
        <v>33.601933493153524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11775.730789999994</v>
      </c>
      <c r="E12" s="34">
        <v>12220.892679999997</v>
      </c>
      <c r="F12" s="34">
        <v>1.9813368818071486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166489.35083999974</v>
      </c>
      <c r="E13" s="34">
        <v>174755.53680000021</v>
      </c>
      <c r="F13" s="34">
        <v>28.33259397887511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8937.2079999999914</v>
      </c>
      <c r="E14" s="34">
        <v>16025.35082</v>
      </c>
      <c r="F14" s="34">
        <v>2.5981423333769458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578227.10486999981</v>
      </c>
      <c r="E17" s="145">
        <v>616800.34285000025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26758.144</v>
      </c>
      <c r="E20" s="152">
        <v>5000</v>
      </c>
      <c r="F20" s="152">
        <v>0.81063508766822301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90554.998560000007</v>
      </c>
      <c r="E21" s="282">
        <v>85313.69769999999</v>
      </c>
      <c r="F21" s="282">
        <v>13.831655362867954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2026-06-30T13:40:48Z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