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Junho\"/>
    </mc:Choice>
  </mc:AlternateContent>
  <xr:revisionPtr revIDLastSave="0" documentId="13_ncr:1_{D0591897-6F98-416F-AB82-367913511035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1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2" i="10"/>
  <c r="E2" i="53"/>
  <c r="F3" i="11" l="1"/>
  <c r="G3" i="32"/>
  <c r="L3" i="12"/>
  <c r="K3" i="12"/>
  <c r="J3" i="12" l="1"/>
  <c r="I3" i="12"/>
  <c r="H3" i="12"/>
  <c r="G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<sst xmlns="http://schemas.openxmlformats.org/spreadsheetml/2006/main" count="116" uniqueCount="100">
  <si>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</si>
  <si>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</si>
  <si>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</si>
  <si>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</si>
  <si>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</si>
  <si>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</si>
  <si>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</si>
  <si>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</si>
  <si>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</si>
  <si>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</si>
  <si>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</si>
  <si>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</si>
  <si>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</si>
  <si>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</si>
  <si>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</si>
  <si>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</si>
  <si>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</si>
  <si>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</si>
  <si>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</si>
  <si>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</si>
  <si>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</si>
  <si>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</si>
  <si>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</si>
  <si>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</si>
  <si>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</si>
  <si>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</si>
  <si>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</si>
  <si>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</si>
  <si>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da Cultura</t>
  </si>
  <si>
    <t>Direção Regional do Arquivo e Biblioteca da Madeira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</si>
  <si>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</si>
  <si>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</si>
  <si>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</si>
  <si>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</si>
  <si>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</si>
  <si>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</si>
  <si>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</si>
  <si>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</si>
  <si>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</si>
  <si>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</si>
  <si>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</si>
  <si>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</si>
  <si>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</si>
  <si>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</si>
  <si>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</si>
  <si>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</si>
  <si>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</si>
  <si>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</si>
  <si>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</si>
  <si>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</si>
  <si>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</si>
  <si>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</si>
  <si>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</si>
  <si>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</si>
  <si>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</si>
  <si>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</si>
  <si>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</si>
  <si>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</si>
  <si>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</si>
  <si>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</si>
  <si>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</si>
  <si>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</si>
  <si>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</si>
  <si>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</si>
  <si>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</si>
  <si>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</si>
  <si>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</si>
  <si>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</si>
  <si>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</si>
  <si>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</si>
  <si>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</si>
  <si>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</si>
  <si>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</si>
  <si>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</si>
  <si>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</si>
  <si>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</si>
  <si>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</si>
  <si>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</si>
  <si>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</si>
  <si>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</si>
  <si>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</si>
  <si>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</si>
  <si>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</si>
  <si>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</si>
  <si>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</si>
  <si>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</si>
  <si>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</si>
  <si>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</si>
  <si>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</si>
  <si>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</si>
  <si>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</si>
  <si>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</si>
  <si>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Gabinete do Secretário Regional do Turismo e Cultura</t>
  </si>
  <si>
    <t>EHTM-Escola de Hotelaria e Turismo da Madeira</t>
  </si>
  <si>
    <t>CARAM -Centro de Abate da Região Autónoma da Madeira, EPERAM</t>
  </si>
  <si>
    <t>Secretaria Regional de Economia, Turismo e Cultura</t>
  </si>
  <si>
    <t>Secretaria Regional de Agricultura, Pescas e Ambiente</t>
  </si>
  <si>
    <t>Secretaria Regional de Equipamentos e Infraestruturas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</si>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</sst>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R32" sqref="R3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QUADRO VIII - Execução orçamental por classificação cruzada orgânica e económica (janeiro-junho)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7485</v>
      </c>
      <c r="E4" s="194">
        <v>1190.1137400000002</v>
      </c>
      <c r="F4" s="194">
        <v>226983.57992999975</v>
      </c>
      <c r="G4" s="194">
        <v>92675.32796000001</v>
      </c>
      <c r="H4" s="194">
        <v>239781.23418</v>
      </c>
      <c r="I4" s="194">
        <v>15184.821760000001</v>
      </c>
      <c r="J4" s="194">
        <v>23186.87864000001</v>
      </c>
      <c r="K4" s="194">
        <v>63558.897350000007</v>
      </c>
      <c r="L4" s="194">
        <v>10790.264900000002</v>
      </c>
      <c r="M4" s="194">
        <v>680836.11845999979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967.10236000000009</v>
      </c>
      <c r="F5" s="196">
        <v>180020.90689999974</v>
      </c>
      <c r="G5" s="196">
        <v>16980.120270000007</v>
      </c>
      <c r="H5" s="196">
        <v>2756.34067</v>
      </c>
      <c r="I5" s="196">
        <v>8265.6632000000009</v>
      </c>
      <c r="J5" s="196">
        <v>14437.37222000001</v>
      </c>
      <c r="K5" s="196">
        <v>8915.5677599999999</v>
      </c>
      <c r="L5" s="196">
        <v>4055.832080000001</v>
      </c>
      <c r="M5" s="196">
        <v>236398.90545999978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753.85515000000009</v>
      </c>
      <c r="F6" s="198">
        <v>146697.04051999978</v>
      </c>
      <c r="G6" s="198">
        <v>12791.927800000005</v>
      </c>
      <c r="H6" s="198">
        <v>2249.2128499999999</v>
      </c>
      <c r="I6" s="198">
        <v>6701.6454900000017</v>
      </c>
      <c r="J6" s="198">
        <v>11462.524540000009</v>
      </c>
      <c r="K6" s="198">
        <v>7139.0632699999996</v>
      </c>
      <c r="L6" s="198">
        <v>3237.5807800000011</v>
      </c>
      <c r="M6" s="198">
        <v>191032.85039999979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32.090420000000002</v>
      </c>
      <c r="F7" s="198">
        <v>6923.8587899999993</v>
      </c>
      <c r="G7" s="198">
        <v>1729.1359300000001</v>
      </c>
      <c r="H7" s="198">
        <v>88.469380000000001</v>
      </c>
      <c r="I7" s="198">
        <v>352.06272999999999</v>
      </c>
      <c r="J7" s="198">
        <v>827.58523000000002</v>
      </c>
      <c r="K7" s="198">
        <v>461.38109000000003</v>
      </c>
      <c r="L7" s="198">
        <v>237.46209999999999</v>
      </c>
      <c r="M7" s="198">
        <v>10652.045670000001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181.15679</v>
      </c>
      <c r="F8" s="198">
        <v>26400.007589999976</v>
      </c>
      <c r="G8" s="198">
        <v>2459.05654</v>
      </c>
      <c r="H8" s="198">
        <v>418.65843999999998</v>
      </c>
      <c r="I8" s="198">
        <v>1211.9549800000002</v>
      </c>
      <c r="J8" s="198">
        <v>2147.2624500000002</v>
      </c>
      <c r="K8" s="198">
        <v>1315.1233999999999</v>
      </c>
      <c r="L8" s="198">
        <v>580.78919999999982</v>
      </c>
      <c r="M8" s="198">
        <v>34714.00938999997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208.35081000000002</v>
      </c>
      <c r="F9" s="196">
        <v>8563.8859900000025</v>
      </c>
      <c r="G9" s="196">
        <v>18433.864070000011</v>
      </c>
      <c r="H9" s="196">
        <v>420.51034000000004</v>
      </c>
      <c r="I9" s="196">
        <v>5119.9617100000014</v>
      </c>
      <c r="J9" s="196">
        <v>1004.6547400000001</v>
      </c>
      <c r="K9" s="196">
        <v>36216.661970000001</v>
      </c>
      <c r="L9" s="196">
        <v>296.03229999999991</v>
      </c>
      <c r="M9" s="196">
        <v>70263.921930000026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30.258689999999998</v>
      </c>
      <c r="F10" s="198">
        <v>5271.6340100000016</v>
      </c>
      <c r="G10" s="198">
        <v>442.17059</v>
      </c>
      <c r="H10" s="198">
        <v>31.532470000000004</v>
      </c>
      <c r="I10" s="198">
        <v>91.451030000000003</v>
      </c>
      <c r="J10" s="198">
        <v>76.575410000000005</v>
      </c>
      <c r="K10" s="198">
        <v>609.58430999999985</v>
      </c>
      <c r="L10" s="198">
        <v>8.0420400000000001</v>
      </c>
      <c r="M10" s="198">
        <v>6561.2485500000021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178.09212000000002</v>
      </c>
      <c r="F11" s="198">
        <v>3292.25198</v>
      </c>
      <c r="G11" s="198">
        <v>17991.693480000009</v>
      </c>
      <c r="H11" s="198">
        <v>388.97787000000005</v>
      </c>
      <c r="I11" s="198">
        <v>5028.5106800000012</v>
      </c>
      <c r="J11" s="198">
        <v>928.07933000000003</v>
      </c>
      <c r="K11" s="198">
        <v>35607.077660000003</v>
      </c>
      <c r="L11" s="198">
        <v>287.99025999999992</v>
      </c>
      <c r="M11" s="198">
        <v>63702.673380000015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0.16056999999999999</v>
      </c>
      <c r="F12" s="198">
        <v>8.0028799999999993</v>
      </c>
      <c r="G12" s="198">
        <v>52866.591479999995</v>
      </c>
      <c r="H12" s="198">
        <v>5.0889999999999998E-2</v>
      </c>
      <c r="I12" s="198">
        <v>4.4740000000000002E-2</v>
      </c>
      <c r="J12" s="198">
        <v>0</v>
      </c>
      <c r="K12" s="198">
        <v>0</v>
      </c>
      <c r="L12" s="198">
        <v>0</v>
      </c>
      <c r="M12" s="198">
        <v>52874.850559999992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7485</v>
      </c>
      <c r="E13" s="196">
        <v>14.5</v>
      </c>
      <c r="F13" s="196">
        <v>38369.651999999995</v>
      </c>
      <c r="G13" s="196">
        <v>4036.1886999999997</v>
      </c>
      <c r="H13" s="196">
        <v>236600.83116999999</v>
      </c>
      <c r="I13" s="196">
        <v>1797.0150599999997</v>
      </c>
      <c r="J13" s="196">
        <v>6618.8122400000002</v>
      </c>
      <c r="K13" s="196">
        <v>18385.070360000002</v>
      </c>
      <c r="L13" s="196">
        <v>6438.3799200000012</v>
      </c>
      <c r="M13" s="196">
        <v>319745.44944999996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7485</v>
      </c>
      <c r="E14" s="200">
        <v>0</v>
      </c>
      <c r="F14" s="200">
        <v>11154.258409999999</v>
      </c>
      <c r="G14" s="200">
        <v>3975.1809599999997</v>
      </c>
      <c r="H14" s="200">
        <v>236431.58812</v>
      </c>
      <c r="I14" s="200">
        <v>0</v>
      </c>
      <c r="J14" s="200">
        <v>6606.1452600000002</v>
      </c>
      <c r="K14" s="200">
        <v>18363.363720000001</v>
      </c>
      <c r="L14" s="200">
        <v>2414.5529900000006</v>
      </c>
      <c r="M14" s="200">
        <v>286430.08946000005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7485</v>
      </c>
      <c r="E16" s="198">
        <v>0</v>
      </c>
      <c r="F16" s="198">
        <v>11154.258409999999</v>
      </c>
      <c r="G16" s="198">
        <v>3975.1809599999997</v>
      </c>
      <c r="H16" s="198">
        <v>236431.58812</v>
      </c>
      <c r="I16" s="198">
        <v>0</v>
      </c>
      <c r="J16" s="198">
        <v>6606.1452600000002</v>
      </c>
      <c r="K16" s="198">
        <v>18363.363720000001</v>
      </c>
      <c r="L16" s="198">
        <v>2414.5529900000006</v>
      </c>
      <c r="M16" s="198">
        <v>286430.08946000005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14.5</v>
      </c>
      <c r="F19" s="200">
        <v>27215.393589999996</v>
      </c>
      <c r="G19" s="200">
        <v>61.007740000000005</v>
      </c>
      <c r="H19" s="200">
        <v>169.24305000000001</v>
      </c>
      <c r="I19" s="200">
        <v>1797.0150599999997</v>
      </c>
      <c r="J19" s="200">
        <v>12.666980000000002</v>
      </c>
      <c r="K19" s="200">
        <v>21.70664</v>
      </c>
      <c r="L19" s="200">
        <v>4023.8269300000002</v>
      </c>
      <c r="M19" s="200">
        <v>33315.359989999997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10119.447470000005</v>
      </c>
      <c r="G20" s="198">
        <v>0</v>
      </c>
      <c r="H20" s="198">
        <v>0</v>
      </c>
      <c r="I20" s="198">
        <v>0.42499999999999999</v>
      </c>
      <c r="J20" s="198">
        <v>0</v>
      </c>
      <c r="K20" s="198">
        <v>0.56999999999999995</v>
      </c>
      <c r="L20" s="198">
        <v>0</v>
      </c>
      <c r="M20" s="198">
        <v>10120.442470000004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14.5</v>
      </c>
      <c r="F22" s="198">
        <v>14167.023729999992</v>
      </c>
      <c r="G22" s="198">
        <v>0</v>
      </c>
      <c r="H22" s="198">
        <v>151.75</v>
      </c>
      <c r="I22" s="198">
        <v>1648.58332</v>
      </c>
      <c r="J22" s="198">
        <v>0</v>
      </c>
      <c r="K22" s="198">
        <v>0</v>
      </c>
      <c r="L22" s="198">
        <v>3026.33833</v>
      </c>
      <c r="M22" s="198">
        <v>19008.19537999999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2928.9223899999997</v>
      </c>
      <c r="G23" s="198">
        <v>46.196740000000005</v>
      </c>
      <c r="H23" s="198">
        <v>17.49305</v>
      </c>
      <c r="I23" s="198">
        <v>118.41574</v>
      </c>
      <c r="J23" s="198">
        <v>12.666980000000002</v>
      </c>
      <c r="K23" s="198">
        <v>21.13664</v>
      </c>
      <c r="L23" s="198">
        <v>997.48860000000002</v>
      </c>
      <c r="M23" s="198">
        <v>4142.3201399999998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29.591000000000001</v>
      </c>
      <c r="J24" s="198">
        <v>0</v>
      </c>
      <c r="K24" s="198">
        <v>0</v>
      </c>
      <c r="L24" s="198">
        <v>0</v>
      </c>
      <c r="M24" s="198">
        <v>44.402000000000001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1092.4202000000002</v>
      </c>
      <c r="K25" s="198">
        <v>20.881450000000001</v>
      </c>
      <c r="L25" s="198">
        <v>0</v>
      </c>
      <c r="M25" s="198">
        <v>1113.3016500000003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21.132159999999988</v>
      </c>
      <c r="G26" s="198">
        <v>358.56344000000001</v>
      </c>
      <c r="H26" s="198">
        <v>3.5011099999999997</v>
      </c>
      <c r="I26" s="198">
        <v>2.1370500000000003</v>
      </c>
      <c r="J26" s="198">
        <v>33.619240000000005</v>
      </c>
      <c r="K26" s="198">
        <v>20.715810000000001</v>
      </c>
      <c r="L26" s="198">
        <v>2.06E-2</v>
      </c>
      <c r="M26" s="198">
        <v>439.68940999999995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2.1715999999999998</v>
      </c>
      <c r="F27" s="32">
        <v>2032.86148</v>
      </c>
      <c r="G27" s="32">
        <v>6711.9753300000011</v>
      </c>
      <c r="H27" s="32">
        <v>490.24941000000001</v>
      </c>
      <c r="I27" s="32">
        <v>807.58010000000002</v>
      </c>
      <c r="J27" s="32">
        <v>3292.1246000000001</v>
      </c>
      <c r="K27" s="32">
        <v>32660.832949999989</v>
      </c>
      <c r="L27" s="32">
        <v>4157.4540200000001</v>
      </c>
      <c r="M27" s="32">
        <v>50155.249489999987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2.1715999999999998</v>
      </c>
      <c r="F28" s="198">
        <v>1871.5015600000002</v>
      </c>
      <c r="G28" s="198">
        <v>3710.1808600000008</v>
      </c>
      <c r="H28" s="198">
        <v>0.60415999999999992</v>
      </c>
      <c r="I28" s="198">
        <v>807.58010000000002</v>
      </c>
      <c r="J28" s="198">
        <v>106.80962000000001</v>
      </c>
      <c r="K28" s="198">
        <v>21142.341519999991</v>
      </c>
      <c r="L28" s="198">
        <v>415.29661000000004</v>
      </c>
      <c r="M28" s="198">
        <v>28056.486029999993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161.35991999999999</v>
      </c>
      <c r="G29" s="196">
        <v>3001.7944699999998</v>
      </c>
      <c r="H29" s="196">
        <v>489.64525000000003</v>
      </c>
      <c r="I29" s="196">
        <v>0</v>
      </c>
      <c r="J29" s="196">
        <v>3185.3149800000001</v>
      </c>
      <c r="K29" s="196">
        <v>11518.49143</v>
      </c>
      <c r="L29" s="196">
        <v>3742.1574100000003</v>
      </c>
      <c r="M29" s="196">
        <v>22098.763460000002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8.8201999999999998</v>
      </c>
      <c r="G30" s="200">
        <v>661.79446999999993</v>
      </c>
      <c r="H30" s="200">
        <v>489.64525000000003</v>
      </c>
      <c r="I30" s="200">
        <v>0</v>
      </c>
      <c r="J30" s="200">
        <v>3185.3149800000001</v>
      </c>
      <c r="K30" s="200">
        <v>11518.49143</v>
      </c>
      <c r="L30" s="200">
        <v>7.7389999999999999</v>
      </c>
      <c r="M30" s="200">
        <v>15871.805329999999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3185.3149800000001</v>
      </c>
      <c r="K31" s="198">
        <v>0</v>
      </c>
      <c r="L31" s="198">
        <v>0</v>
      </c>
      <c r="M31" s="198">
        <v>3185.3149800000001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8.8201999999999998</v>
      </c>
      <c r="G32" s="198">
        <v>661.79446999999993</v>
      </c>
      <c r="H32" s="198">
        <v>489.64525000000003</v>
      </c>
      <c r="I32" s="198">
        <v>0</v>
      </c>
      <c r="J32" s="198">
        <v>0</v>
      </c>
      <c r="K32" s="198">
        <v>11518.49143</v>
      </c>
      <c r="L32" s="198">
        <v>7.7389999999999999</v>
      </c>
      <c r="M32" s="198">
        <v>12686.49035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152.53971999999999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3734.4184100000002</v>
      </c>
      <c r="M35" s="200">
        <v>6226.95813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7485</v>
      </c>
      <c r="E38" s="204">
        <v>1192.2853400000001</v>
      </c>
      <c r="F38" s="204">
        <v>229016.44140999974</v>
      </c>
      <c r="G38" s="204">
        <v>99387.303290000011</v>
      </c>
      <c r="H38" s="204">
        <v>240271.48358999999</v>
      </c>
      <c r="I38" s="204">
        <v>15992.40186</v>
      </c>
      <c r="J38" s="204">
        <v>26479.003240000009</v>
      </c>
      <c r="K38" s="204">
        <v>96219.730299999996</v>
      </c>
      <c r="L38" s="204">
        <v>14947.718920000003</v>
      </c>
      <c r="M38" s="204">
        <v>730991.36794999975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20000</v>
      </c>
      <c r="I40" s="208">
        <v>0</v>
      </c>
      <c r="J40" s="208">
        <v>0</v>
      </c>
      <c r="K40" s="208">
        <v>7335.0670799999998</v>
      </c>
      <c r="L40" s="208">
        <v>0</v>
      </c>
      <c r="M40" s="208">
        <v>27335.067080000001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117740.77742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117740.77742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79657.858509999991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F13" sqref="F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QUADRO IX - Saldo Global do Subsetor - EPR (janeiro-junho)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25074.486679999944</v>
      </c>
      <c r="E5" s="82">
        <v>-6496.6411299997417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(janeiro-junho)","TABLE X - ASFs and RPEs budget execution (january-june)")</f>
        <v>QUADRO X - Execução orçamental dos Serviços e Fundos Autónomos e EPR (janeiro-junho)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18834.732130000135</v>
      </c>
      <c r="E4" s="98">
        <v>-6496.6411299997417</v>
      </c>
      <c r="F4" s="98">
        <v>12338.091000000393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295163.20137999993</v>
      </c>
      <c r="E7" s="74">
        <v>249823.2823399998</v>
      </c>
      <c r="F7" s="74">
        <v>544986.48371999967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21054.692540000135</v>
      </c>
      <c r="E8" s="74">
        <v>-6028.1238099997418</v>
      </c>
      <c r="F8" s="74">
        <v>15026.568730000392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17410.387390000164</v>
      </c>
      <c r="E9" s="74">
        <v>-11271.821099999768</v>
      </c>
      <c r="F9" s="74">
        <v>6138.5662900004536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1424.3447399999995</v>
      </c>
      <c r="E10" s="74">
        <v>4775.179970000012</v>
      </c>
      <c r="F10" s="74">
        <v>6199.5247100000124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(janeiro-junho)","TABLE XI - ASFs and RPEs budget execution (january-june)")</f>
        <v>QUADRO XI - Execução orçamental dos Serviços e Fundos Autónomos e EPR (janeiro-junho)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312159.31650000007</v>
      </c>
      <c r="E4" s="108">
        <v>207800.62122000006</v>
      </c>
      <c r="F4" s="108">
        <v>519959.93772000016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5046.8984099999998</v>
      </c>
      <c r="E8" s="74">
        <v>6376.0504900000005</v>
      </c>
      <c r="F8" s="74">
        <v>11422.948899999999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303730.03157000005</v>
      </c>
      <c r="E9" s="74">
        <v>179705.45590000006</v>
      </c>
      <c r="F9" s="74">
        <v>483435.48747000011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27226.119120000003</v>
      </c>
      <c r="E10" s="74">
        <v>979.00971000000004</v>
      </c>
      <c r="F10" s="74">
        <v>28205.128830000001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275561.10288000008</v>
      </c>
      <c r="E11" s="74">
        <v>178726.44619000005</v>
      </c>
      <c r="F11" s="74">
        <v>454287.54907000012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2649.3620900000005</v>
      </c>
      <c r="E12" s="74">
        <v>12603.360080000004</v>
      </c>
      <c r="F12" s="74">
        <v>15252.722170000005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733.02443000000005</v>
      </c>
      <c r="E13" s="74">
        <v>9115.7547500000019</v>
      </c>
      <c r="F13" s="74">
        <v>9848.7791800000014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4058.5774199999992</v>
      </c>
      <c r="E14" s="83">
        <v>35994.537310000007</v>
      </c>
      <c r="F14" s="83">
        <v>40053.114730000008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1413.6449299999999</v>
      </c>
      <c r="F15" s="34">
        <v>1413.6449299999999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3996.8333199999993</v>
      </c>
      <c r="E16" s="34">
        <v>34521.33928</v>
      </c>
      <c r="F16" s="74">
        <v>38518.172599999998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3395.1575899999993</v>
      </c>
      <c r="E17" s="34">
        <v>17730.469989999998</v>
      </c>
      <c r="F17" s="74">
        <v>21125.627579999997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601.67572999999993</v>
      </c>
      <c r="E18" s="74">
        <v>16790.869290000002</v>
      </c>
      <c r="F18" s="74">
        <v>17392.545020000001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22.069790000000001</v>
      </c>
      <c r="F19" s="74">
        <v>22.069790000000001</v>
      </c>
    </row>
    <row r="20" spans="2:6" ht="11.25" customHeight="1">
      <c r="C20" s="110" t="str">
        <f>+IF(Índice!$D$2=1,"Receita efetiva","Effective revenue")</f>
        <v>Receita efetiva</v>
      </c>
      <c r="D20" s="83">
        <v>316217.89392000006</v>
      </c>
      <c r="E20" s="83">
        <v>243795.15853000007</v>
      </c>
      <c r="F20" s="83">
        <v>560013.05245000008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294748.92910999991</v>
      </c>
      <c r="E22" s="83">
        <v>219072.44231999983</v>
      </c>
      <c r="F22" s="83">
        <v>513821.37142999971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31465.089309999985</v>
      </c>
      <c r="E23" s="74">
        <v>146214.51170999982</v>
      </c>
      <c r="F23" s="74">
        <v>177679.6010199998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61418.893329999992</v>
      </c>
      <c r="E24" s="74">
        <v>64022.701370000002</v>
      </c>
      <c r="F24" s="74">
        <v>125441.59469999999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2219.9604099999997</v>
      </c>
      <c r="E25" s="74">
        <v>468.5173200000001</v>
      </c>
      <c r="F25" s="74">
        <v>2688.4777299999996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182832.66376999996</v>
      </c>
      <c r="E26" s="74">
        <v>7085.3107900000005</v>
      </c>
      <c r="F26" s="74">
        <v>189917.97455999994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1273.05844</v>
      </c>
      <c r="E27" s="74">
        <v>0</v>
      </c>
      <c r="F27" s="59">
        <v>1273.05844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181559.60532999996</v>
      </c>
      <c r="E28" s="74">
        <v>7085.3107900000005</v>
      </c>
      <c r="F28" s="59">
        <v>188644.91611999995</v>
      </c>
    </row>
    <row r="29" spans="2:6" ht="11.25" customHeight="1">
      <c r="C29" s="104" t="str">
        <f>+IF(Índice!$D$2=1,"Subsídios","Subsidies")</f>
        <v>Subsídios</v>
      </c>
      <c r="D29" s="74">
        <v>16626.906790000001</v>
      </c>
      <c r="E29" s="74">
        <v>6.5214400000000001</v>
      </c>
      <c r="F29" s="74">
        <v>16633.428230000001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185.41550000000004</v>
      </c>
      <c r="E30" s="74">
        <v>1274.87969</v>
      </c>
      <c r="F30" s="74">
        <v>1460.29519</v>
      </c>
    </row>
    <row r="31" spans="2:6" ht="11.25" customHeight="1">
      <c r="C31" s="110" t="str">
        <f>+IF(Índice!$D$2=1,"Despesa de capital","Capital expenditure")</f>
        <v>Despesa de capital</v>
      </c>
      <c r="D31" s="83">
        <v>2634.2326799999996</v>
      </c>
      <c r="E31" s="83">
        <v>31219.357339999995</v>
      </c>
      <c r="F31" s="83">
        <v>33853.590019999996</v>
      </c>
    </row>
    <row r="32" spans="2:6" ht="11.25" customHeight="1">
      <c r="C32" s="104" t="str">
        <f>+IF(Índice!$D$2=1,"Investimento","Investment")</f>
        <v>Investimento</v>
      </c>
      <c r="D32" s="74">
        <v>694.86017999999979</v>
      </c>
      <c r="E32" s="74">
        <v>30645.584659999997</v>
      </c>
      <c r="F32" s="74">
        <v>31340.444839999996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1939.3724999999999</v>
      </c>
      <c r="E33" s="74">
        <v>573.77267999999992</v>
      </c>
      <c r="F33" s="74">
        <v>2513.14518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297383.16178999993</v>
      </c>
      <c r="E36" s="83">
        <v>250291.79965999982</v>
      </c>
      <c r="F36" s="83">
        <v>547674.96144999971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2371.3840800000003</v>
      </c>
      <c r="E38" s="35">
        <v>523.83654000000001</v>
      </c>
      <c r="F38" s="35">
        <v>2895.2206200000001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7170.7158200000003</v>
      </c>
      <c r="F39" s="35">
        <v>7170.7158200000003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18834.732130000135</v>
      </c>
      <c r="E44" s="114">
        <v>-6496.6411299997417</v>
      </c>
      <c r="F44" s="114">
        <v>12338.091000000393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QUADRO XII - Execução orçamental dos Serviços e Fundos Autónomos e EPR (junho)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+IF(Índice!$D$2=1,"junho 2025","june 2025")</f>
        <v>junho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66997.0484800001</v>
      </c>
      <c r="E5" s="317">
        <v>30984.195300000061</v>
      </c>
      <c r="F5" s="317">
        <v>97981.243780000164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66997.0484800001</v>
      </c>
      <c r="E9" s="74">
        <v>30984.195300000061</v>
      </c>
      <c r="F9" s="74">
        <v>97981.243780000164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65695.562050000095</v>
      </c>
      <c r="E10" s="74">
        <v>27621.279350000055</v>
      </c>
      <c r="F10" s="74">
        <v>93316.84140000015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315.22751000000017</v>
      </c>
      <c r="E11" s="83">
        <v>5532.6795199999997</v>
      </c>
      <c r="F11" s="83">
        <v>5847.9070300000003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48.510929999999938</v>
      </c>
      <c r="F12" s="34">
        <v>48.510929999999938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313.78191000000015</v>
      </c>
      <c r="E13" s="34">
        <v>5444.0148599999993</v>
      </c>
      <c r="F13" s="74">
        <v>5757.796769999999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67312.275990000096</v>
      </c>
      <c r="E15" s="83">
        <v>36516.874820000063</v>
      </c>
      <c r="F15" s="83">
        <v>103829.15081000017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75047.267259999964</v>
      </c>
      <c r="E17" s="83">
        <v>43170.672729999947</v>
      </c>
      <c r="F17" s="83">
        <v>118217.93998999991</v>
      </c>
    </row>
    <row r="18" spans="3:6" ht="11.25" customHeight="1">
      <c r="C18" s="104" t="str">
        <f>+IF(Índice!$D$2=1,"Consumo público","Public consumption")</f>
        <v>Consumo público</v>
      </c>
      <c r="D18" s="74">
        <v>39221.320689999986</v>
      </c>
      <c r="E18" s="74">
        <v>41934.219399999944</v>
      </c>
      <c r="F18" s="74">
        <v>81155.540089999937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7796.5339899999908</v>
      </c>
      <c r="E19" s="74">
        <v>33978.823829999892</v>
      </c>
      <c r="F19" s="74">
        <v>41775.357819999881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31424.786699999997</v>
      </c>
      <c r="E20" s="74">
        <v>7955.3955700000506</v>
      </c>
      <c r="F20" s="74">
        <v>39380.182270000048</v>
      </c>
    </row>
    <row r="21" spans="3:6" ht="11.25" customHeight="1">
      <c r="C21" s="104" t="str">
        <f>+IF(Índice!$D$2=1,"Subsídios","Subsidies")</f>
        <v>Subsídios</v>
      </c>
      <c r="D21" s="74">
        <v>3223.6605099999997</v>
      </c>
      <c r="E21" s="74">
        <v>0</v>
      </c>
      <c r="F21" s="74">
        <v>3223.6605099999997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2218.7957399999996</v>
      </c>
      <c r="E22" s="74">
        <v>84.830939999999998</v>
      </c>
      <c r="F22" s="59">
        <v>2303.6266799999994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30383.490319999964</v>
      </c>
      <c r="E23" s="74">
        <v>1151.6223900000016</v>
      </c>
      <c r="F23" s="59">
        <v>31535.112709999965</v>
      </c>
    </row>
    <row r="24" spans="3:6" ht="11.25" customHeight="1">
      <c r="C24" s="110" t="str">
        <f>+IF(Índice!$D$2=1,"Despesa de capital","Capital expenditure")</f>
        <v>Despesa de capital</v>
      </c>
      <c r="D24" s="83">
        <v>340.38861999999966</v>
      </c>
      <c r="E24" s="83">
        <v>5750.0032799999935</v>
      </c>
      <c r="F24" s="83">
        <v>6090.3918999999933</v>
      </c>
    </row>
    <row r="25" spans="3:6" ht="11.25" customHeight="1">
      <c r="C25" s="104" t="str">
        <f>+IF(Índice!$D$2=1,"Investimento","Investment")</f>
        <v>Investimento</v>
      </c>
      <c r="D25" s="74">
        <v>340.38861999999966</v>
      </c>
      <c r="E25" s="74">
        <v>5714.0032799999935</v>
      </c>
      <c r="F25" s="74">
        <v>6054.3918999999933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0</v>
      </c>
      <c r="E26" s="74">
        <v>36</v>
      </c>
      <c r="F26" s="74">
        <v>36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75387.655879999962</v>
      </c>
      <c r="E29" s="83">
        <v>48920.676009999937</v>
      </c>
      <c r="F29" s="83">
        <v>124308.3318899999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-8075.3798899998656</v>
      </c>
      <c r="E31" s="319">
        <v>-12403.801189999875</v>
      </c>
      <c r="F31" s="319">
        <v>-20479.18107999974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2025 (valores acumulados)","Table XIII- Accounts payable of the Regional Administration, june (accumulated)")</f>
        <v>QUADRO XIII - Contas a pagar, da Administração Regional, no final de junho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8" t="s">
        <v>7</v>
      </c>
      <c r="D3" s="339" t="str">
        <f>+IF(Índice!$D$2=1,"junho 2025","june 2025")</f>
        <v>junho 2025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Variação face ao stock inicial de janeiro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Stock final do período</v>
      </c>
      <c r="E4" s="342"/>
      <c r="F4" s="342"/>
      <c r="G4" s="343" t="str">
        <f>+IF(Índice!$D$2=1,"Passivo","Liabilities")</f>
        <v>Passivo</v>
      </c>
      <c r="H4" s="343" t="str">
        <f>+IF(Índice!$D$2=1,"Contas a pagar","Accounts payable")</f>
        <v>Contas a pagar</v>
      </c>
      <c r="I4" s="345" t="str">
        <f>+IF(Índice!$D$2=1,"Pagamentos em atraso","Late payments")</f>
        <v>Pagamentos em atraso</v>
      </c>
    </row>
    <row r="5" spans="2:11" ht="22.5">
      <c r="B5" s="29"/>
      <c r="C5" s="338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4"/>
      <c r="H5" s="344"/>
      <c r="I5" s="346"/>
    </row>
    <row r="6" spans="2:11">
      <c r="B6" s="29"/>
      <c r="C6" s="119" t="str">
        <f>+IF(Índice!$D$2=1,"Despesa corrente","Current expenditure")</f>
        <v>Despesa corrente</v>
      </c>
      <c r="D6" s="162">
        <v>143106255.70000002</v>
      </c>
      <c r="E6" s="162">
        <v>134191726.75</v>
      </c>
      <c r="F6" s="162">
        <v>21535270.429999992</v>
      </c>
      <c r="G6" s="91">
        <v>0.35720642781925549</v>
      </c>
      <c r="H6" s="91">
        <v>0.40318942041106265</v>
      </c>
      <c r="I6" s="116">
        <v>-0.47741590788496313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15171918.120000001</v>
      </c>
      <c r="E7" s="165">
        <v>14347205.120000001</v>
      </c>
      <c r="F7" s="165">
        <v>19411.129999999997</v>
      </c>
      <c r="G7" s="95">
        <v>9.8492530486372516</v>
      </c>
      <c r="H7" s="95">
        <v>16.247466055032927</v>
      </c>
      <c r="I7" s="121">
        <v>32.491140288824859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82444539.930000007</v>
      </c>
      <c r="E8" s="165">
        <v>81073105.330000013</v>
      </c>
      <c r="F8" s="165">
        <v>19837105.049999993</v>
      </c>
      <c r="G8" s="95">
        <v>-8.2251932572900754E-2</v>
      </c>
      <c r="H8" s="95">
        <v>-9.6045709537247226E-2</v>
      </c>
      <c r="I8" s="121">
        <v>-0.49957499341417511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27019294.960000001</v>
      </c>
      <c r="E9" s="165">
        <v>23510102.389999997</v>
      </c>
      <c r="F9" s="165">
        <v>1495426.38</v>
      </c>
      <c r="G9" s="95">
        <v>2.0369321343828353</v>
      </c>
      <c r="H9" s="95">
        <v>5.4987892844227284</v>
      </c>
      <c r="I9" s="121">
        <v>6.9005405648892015E-3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17092937.800000001</v>
      </c>
      <c r="E10" s="165">
        <v>13891598.609999999</v>
      </c>
      <c r="F10" s="165">
        <v>183276.87000000002</v>
      </c>
      <c r="G10" s="95">
        <v>2.7023486602295526</v>
      </c>
      <c r="H10" s="95">
        <v>16.209525410582366</v>
      </c>
      <c r="I10" s="121">
        <v>1.2115467202653325</v>
      </c>
    </row>
    <row r="11" spans="2:11">
      <c r="B11" s="29"/>
      <c r="C11" s="120" t="str">
        <f>+IF(Índice!$D$2=1,"Subsídios","Subsidies")</f>
        <v>Subsídios</v>
      </c>
      <c r="D11" s="165">
        <v>1326958.3900000001</v>
      </c>
      <c r="E11" s="165">
        <v>1326958.3900000001</v>
      </c>
      <c r="F11" s="165">
        <v>0</v>
      </c>
      <c r="G11" s="95">
        <v>0.92962784309658963</v>
      </c>
      <c r="H11" s="95">
        <v>0.92962784309658963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50606.5</v>
      </c>
      <c r="E12" s="165">
        <v>42756.91</v>
      </c>
      <c r="F12" s="165">
        <v>51</v>
      </c>
      <c r="G12" s="95">
        <v>4.9798978348696696</v>
      </c>
      <c r="H12" s="95">
        <v>22.046689628779184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41150716.420000002</v>
      </c>
      <c r="E13" s="163">
        <v>26407094.110000003</v>
      </c>
      <c r="F13" s="163">
        <v>350585.23</v>
      </c>
      <c r="G13" s="92">
        <v>2.3512275270687999E-2</v>
      </c>
      <c r="H13" s="92">
        <v>4.4565296917400854E-2</v>
      </c>
      <c r="I13" s="117">
        <v>1.4678283969054684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23059125.789999999</v>
      </c>
      <c r="E14" s="165">
        <v>14173669.850000001</v>
      </c>
      <c r="F14" s="165">
        <v>350585.23</v>
      </c>
      <c r="G14" s="95">
        <v>-4.1440751197782122E-3</v>
      </c>
      <c r="H14" s="95">
        <v>-2.5324422057149132E-3</v>
      </c>
      <c r="I14" s="121">
        <v>1.4678283969054684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18091590.629999999</v>
      </c>
      <c r="E15" s="165">
        <v>12233424.260000002</v>
      </c>
      <c r="F15" s="165">
        <v>0</v>
      </c>
      <c r="G15" s="95">
        <v>6.1070825248015215E-2</v>
      </c>
      <c r="H15" s="95">
        <v>0.10501640720381777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184256972.12</v>
      </c>
      <c r="E17" s="164">
        <v>160598820.86000001</v>
      </c>
      <c r="F17" s="164">
        <v>21885855.659999993</v>
      </c>
      <c r="G17" s="147">
        <v>0.26509131558196564</v>
      </c>
      <c r="H17" s="147">
        <v>0.32820888317467922</v>
      </c>
      <c r="I17" s="148">
        <v>-0.47073302148417118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135761031.44999999</v>
      </c>
      <c r="E19" s="164">
        <v>112115364.12999998</v>
      </c>
      <c r="F19" s="164">
        <v>3027209.8199999984</v>
      </c>
      <c r="G19" s="147">
        <v>0.53719482305218813</v>
      </c>
      <c r="H19" s="147">
        <v>0.76291641962691026</v>
      </c>
      <c r="I19" s="148">
        <v>-0.48049460226856222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junho de 2025 (valores acumulados)","Table XIV - Accounts payable of the Regional Gov., june (accumulated)")</f>
        <v>QUADRO XIV - Contas a pagar, do Governo Regional, no final de junho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8" t="str">
        <f>+IF(Índice!$D$2=1,"Governo Regional","Regional Government")</f>
        <v>Governo Regional</v>
      </c>
      <c r="D24" s="339" t="str">
        <f>+IF(Índice!$D$2=1,"junho 2025","june 2025")</f>
        <v>junho 2025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Variação face ao stock inicial de janeiro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Stock final do período</v>
      </c>
      <c r="E25" s="342"/>
      <c r="F25" s="342"/>
      <c r="G25" s="343" t="str">
        <f>+IF(Índice!$D$2=1,"Passivo","Liabilities")</f>
        <v>Passivo</v>
      </c>
      <c r="H25" s="343" t="str">
        <f>+IF(Índice!$D$2=1,"Contas a pagar","Accounts payable")</f>
        <v>Contas a pagar</v>
      </c>
      <c r="I25" s="345" t="str">
        <f>+IF(Índice!$D$2=1,"Pagamentos em atraso","Late payments")</f>
        <v>Pagamentos em atraso</v>
      </c>
    </row>
    <row r="26" spans="2:9" ht="22.5">
      <c r="B26" s="29"/>
      <c r="C26" s="338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52113317.860000007</v>
      </c>
      <c r="E27" s="162">
        <v>46884930.990000002</v>
      </c>
      <c r="F27" s="162">
        <v>1158338.0899999999</v>
      </c>
      <c r="G27" s="91">
        <v>6.1265984777895666</v>
      </c>
      <c r="H27" s="91">
        <v>13.282596821008823</v>
      </c>
      <c r="I27" s="116">
        <v>0.10522818428306313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30003394.039999999</v>
      </c>
      <c r="E28" s="163">
        <v>23976906.730000004</v>
      </c>
      <c r="F28" s="163">
        <v>78843.649999999994</v>
      </c>
      <c r="G28" s="92">
        <v>0.10813917821321217</v>
      </c>
      <c r="H28" s="172">
        <v>0.14899745056327607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82116711.900000006</v>
      </c>
      <c r="E29" s="164">
        <v>70861837.719999999</v>
      </c>
      <c r="F29" s="164">
        <v>1237181.7399999998</v>
      </c>
      <c r="G29" s="147">
        <v>1.3879478469488089</v>
      </c>
      <c r="H29" s="147">
        <v>1.934196556597219</v>
      </c>
      <c r="I29" s="148">
        <v>0.17974768246056039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junho de 2025 (valores acumulados)","Table XV - Accounts payable of the ASFs, june (accumulated)")</f>
        <v>QUADRO XV - Contas a pagar, dos Serviços e Fundos Autónomos, no final de junho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7" t="str">
        <f>+IF(Índice!$D$2=1,"Serviços e Fundos Autónomos","Autonomous Services and Funds")</f>
        <v>Serviços e Fundos Autónomos</v>
      </c>
      <c r="D33" s="339" t="str">
        <f>+IF(Índice!$D$2=1,"junho 2025","june 2025")</f>
        <v>junho 2025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Variação face ao stock inicial de janeiro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Stock final do período</v>
      </c>
      <c r="E34" s="351"/>
      <c r="F34" s="352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5" t="str">
        <f>+IF(Índice!$D$2=1,"Pagamentos em atraso","Late payments")</f>
        <v>Pagamentos em atraso</v>
      </c>
    </row>
    <row r="35" spans="2:9" ht="22.5">
      <c r="C35" s="349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Despesa corrente</v>
      </c>
      <c r="D36" s="162">
        <v>40251530.369999997</v>
      </c>
      <c r="E36" s="162">
        <v>39078820.080000006</v>
      </c>
      <c r="F36" s="162">
        <v>1790028.0799999998</v>
      </c>
      <c r="G36" s="91">
        <v>2.7957099955722375E-2</v>
      </c>
      <c r="H36" s="91">
        <v>3.795301642273663E-2</v>
      </c>
      <c r="I36" s="116">
        <v>-0.62539303972351512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297603.33999999997</v>
      </c>
      <c r="E37" s="163">
        <v>297603.33999999997</v>
      </c>
      <c r="F37" s="163">
        <v>0</v>
      </c>
      <c r="G37" s="92">
        <v>1.0121721526477785</v>
      </c>
      <c r="H37" s="92">
        <v>1.0121721526477785</v>
      </c>
      <c r="I37" s="117">
        <v>0</v>
      </c>
    </row>
    <row r="38" spans="2:9" ht="20.100000000000001" customHeight="1">
      <c r="C38" s="146" t="s">
        <v>7</v>
      </c>
      <c r="D38" s="164">
        <v>40549133.710000001</v>
      </c>
      <c r="E38" s="164">
        <v>39376423.420000009</v>
      </c>
      <c r="F38" s="164">
        <v>1790028.0799999998</v>
      </c>
      <c r="G38" s="147">
        <v>3.1660647753960935E-2</v>
      </c>
      <c r="H38" s="147">
        <v>4.1765103935455405E-2</v>
      </c>
      <c r="I38" s="148">
        <v>-0.62539303972351512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junho de 2025 (valores acumulados)","Table XVI - Accounts payable of the RPEs, june (accumulated)")</f>
        <v>QUADRO XVI - Contas a pagar, das Entidades Públicas Reclassificadas, no final de junho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7" t="str">
        <f>+IF(Índice!$D$2=1,"Entidades Públicas Reclassseicadas","Reclassseied Public Entities")</f>
        <v>Entidades Públicas Reclassseicadas</v>
      </c>
      <c r="D42" s="339" t="str">
        <f>+IF(Índice!$D$2=1,"junho 2025","june 2025")</f>
        <v>junho 2025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Variação face ao stock inicial de janeiro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Stock final do período</v>
      </c>
      <c r="E43" s="351"/>
      <c r="F43" s="352"/>
      <c r="G43" s="343" t="str">
        <f>+IF(Índice!$D$2=1,"Passivo","Liabilities")</f>
        <v>Passivo</v>
      </c>
      <c r="H43" s="343" t="str">
        <f>+IF(Índice!$D$2=1,"Contas a pagar","Accounts payable")</f>
        <v>Contas a pagar</v>
      </c>
      <c r="I43" s="345" t="str">
        <f>+IF(Índice!$D$2=1,"Pagamentos em atraso","Late payments")</f>
        <v>Pagamentos em atraso</v>
      </c>
    </row>
    <row r="44" spans="2:9" ht="22.5">
      <c r="C44" s="349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Despesa corrente</v>
      </c>
      <c r="D45" s="162">
        <v>50741407.470000006</v>
      </c>
      <c r="E45" s="162">
        <v>48227975.68</v>
      </c>
      <c r="F45" s="162">
        <v>18586904.259999994</v>
      </c>
      <c r="G45" s="91">
        <v>-0.13957432695363714</v>
      </c>
      <c r="H45" s="91">
        <v>-0.11833161426253602</v>
      </c>
      <c r="I45" s="116">
        <v>-0.47468988049110628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10849719.039999999</v>
      </c>
      <c r="E46" s="163">
        <v>2132584.04</v>
      </c>
      <c r="F46" s="163">
        <v>271741.57999999996</v>
      </c>
      <c r="G46" s="92">
        <v>-0.16425032610506518</v>
      </c>
      <c r="H46" s="92">
        <v>-0.49996682091130773</v>
      </c>
      <c r="I46" s="117">
        <v>0.92135527231980441</v>
      </c>
    </row>
    <row r="47" spans="2:9" ht="20.100000000000001" customHeight="1">
      <c r="C47" s="146" t="s">
        <v>7</v>
      </c>
      <c r="D47" s="164">
        <v>61591126.510000005</v>
      </c>
      <c r="E47" s="164">
        <v>50360559.719999999</v>
      </c>
      <c r="F47" s="164">
        <v>18858645.839999992</v>
      </c>
      <c r="G47" s="147">
        <v>-0.14402636904246724</v>
      </c>
      <c r="H47" s="147">
        <v>-0.14593461745182568</v>
      </c>
      <c r="I47" s="148">
        <v>-0.46913180957868328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1"/>
  <sheetViews>
    <sheetView showGridLines="0" topLeftCell="A41" zoomScale="85" zoomScaleNormal="85" workbookViewId="0">
      <selection activeCell="B83" sqref="B8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60</v>
      </c>
      <c r="D9" s="170"/>
      <c r="E9" s="169"/>
    </row>
    <row r="10" spans="2:5">
      <c r="B10" s="195"/>
      <c r="C10" s="170" t="s">
        <v>73</v>
      </c>
      <c r="D10" s="170"/>
      <c r="E10" s="169"/>
    </row>
    <row r="11" spans="2:5">
      <c r="B11" s="195"/>
      <c r="C11" s="170" t="s">
        <v>61</v>
      </c>
      <c r="D11" s="170"/>
      <c r="E11" s="169"/>
    </row>
    <row r="12" spans="2:5">
      <c r="B12" s="195"/>
      <c r="C12" s="170" t="s">
        <v>62</v>
      </c>
      <c r="D12" s="170"/>
      <c r="E12" s="169"/>
    </row>
    <row r="13" spans="2:5">
      <c r="B13" s="195"/>
      <c r="C13" s="170" t="s">
        <v>63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50</v>
      </c>
      <c r="D15" s="170"/>
      <c r="E15" s="169"/>
    </row>
    <row r="16" spans="2:5">
      <c r="B16" s="195"/>
      <c r="C16" s="170" t="s">
        <v>64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76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80</v>
      </c>
      <c r="D20" s="170"/>
      <c r="E20" s="169"/>
    </row>
    <row r="21" spans="2:5">
      <c r="B21" s="195"/>
      <c r="C21" s="170" t="s">
        <v>51</v>
      </c>
      <c r="D21" s="170"/>
      <c r="E21" s="169"/>
    </row>
    <row r="22" spans="2:5">
      <c r="B22" s="195"/>
      <c r="C22" s="170" t="s">
        <v>65</v>
      </c>
      <c r="D22" s="170"/>
      <c r="E22" s="169"/>
    </row>
    <row r="23" spans="2:5">
      <c r="B23" s="195"/>
      <c r="C23" s="170" t="s">
        <v>66</v>
      </c>
      <c r="D23" s="170"/>
      <c r="E23" s="169"/>
    </row>
    <row r="24" spans="2:5">
      <c r="B24" s="195"/>
      <c r="C24" s="170" t="s">
        <v>81</v>
      </c>
      <c r="D24" s="170"/>
      <c r="E24" s="169"/>
    </row>
    <row r="25" spans="2:5">
      <c r="B25" s="195"/>
      <c r="C25" s="170" t="s">
        <v>67</v>
      </c>
      <c r="D25" s="170"/>
      <c r="E25" s="169"/>
    </row>
    <row r="26" spans="2:5">
      <c r="B26" s="195"/>
      <c r="C26" s="170" t="s">
        <v>68</v>
      </c>
      <c r="D26" s="170"/>
      <c r="E26" s="169"/>
    </row>
    <row r="27" spans="2:5">
      <c r="B27" s="195"/>
      <c r="C27" s="170" t="s">
        <v>52</v>
      </c>
      <c r="D27" s="170"/>
      <c r="E27" s="169"/>
    </row>
    <row r="28" spans="2:5">
      <c r="B28" s="195"/>
      <c r="C28" s="170" t="s">
        <v>77</v>
      </c>
      <c r="D28" s="170"/>
      <c r="E28" s="169"/>
    </row>
    <row r="29" spans="2:5">
      <c r="B29" s="55"/>
      <c r="C29" s="170" t="s">
        <v>53</v>
      </c>
      <c r="D29" s="170"/>
      <c r="E29" s="169"/>
    </row>
    <row r="30" spans="2:5">
      <c r="B30" s="55"/>
      <c r="C30" s="170" t="s">
        <v>69</v>
      </c>
      <c r="D30" s="170"/>
      <c r="E30" s="169"/>
    </row>
    <row r="31" spans="2:5">
      <c r="B31" s="55"/>
      <c r="C31" s="170" t="s">
        <v>88</v>
      </c>
      <c r="D31" s="170"/>
      <c r="E31" s="169"/>
    </row>
    <row r="32" spans="2:5">
      <c r="B32" s="55"/>
      <c r="C32" s="170" t="s">
        <v>70</v>
      </c>
      <c r="D32" s="170"/>
      <c r="E32" s="169"/>
    </row>
    <row r="33" spans="2:5">
      <c r="B33" s="55"/>
      <c r="C33" s="170" t="s">
        <v>54</v>
      </c>
      <c r="D33" s="170"/>
      <c r="E33" s="169"/>
    </row>
    <row r="34" spans="2:5">
      <c r="B34" s="55"/>
      <c r="C34" s="170" t="s">
        <v>71</v>
      </c>
      <c r="D34" s="170"/>
      <c r="E34" s="169"/>
    </row>
    <row r="35" spans="2:5">
      <c r="B35" s="55"/>
      <c r="C35" s="170" t="s">
        <v>55</v>
      </c>
      <c r="D35" s="170"/>
      <c r="E35" s="169"/>
    </row>
    <row r="36" spans="2:5">
      <c r="B36" s="55"/>
      <c r="C36" s="171" t="s">
        <v>22</v>
      </c>
      <c r="D36" s="170"/>
      <c r="E36" s="169"/>
    </row>
    <row r="37" spans="2:5">
      <c r="B37" s="55"/>
      <c r="C37" s="170" t="s">
        <v>56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46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58</v>
      </c>
      <c r="D41" s="170"/>
      <c r="E41" s="169"/>
    </row>
    <row r="42" spans="2:5">
      <c r="B42" s="55"/>
      <c r="C42" s="170" t="s">
        <v>24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47</v>
      </c>
      <c r="D44" s="170"/>
      <c r="E44" s="169"/>
    </row>
    <row r="45" spans="2:5">
      <c r="B45" s="55"/>
      <c r="C45" s="171" t="s">
        <v>26</v>
      </c>
      <c r="D45" s="171"/>
      <c r="E45" s="169"/>
    </row>
    <row r="46" spans="2:5">
      <c r="B46" s="55"/>
      <c r="C46" s="170" t="s">
        <v>84</v>
      </c>
      <c r="D46" s="170"/>
      <c r="E46" s="169"/>
    </row>
    <row r="47" spans="2:5">
      <c r="B47" s="55"/>
      <c r="C47" s="170" t="s">
        <v>78</v>
      </c>
      <c r="D47" s="170"/>
      <c r="E47" s="169"/>
    </row>
    <row r="48" spans="2:5">
      <c r="B48" s="55"/>
      <c r="C48" s="170" t="s">
        <v>27</v>
      </c>
      <c r="D48" s="170"/>
      <c r="E48" s="169"/>
    </row>
    <row r="49" spans="2:5">
      <c r="B49" s="55"/>
      <c r="C49" s="171" t="s">
        <v>95</v>
      </c>
      <c r="D49" s="170"/>
      <c r="E49" s="169"/>
    </row>
    <row r="50" spans="2:5">
      <c r="B50" s="55"/>
      <c r="C50" s="170" t="s">
        <v>92</v>
      </c>
      <c r="D50" s="171"/>
      <c r="E50" s="169"/>
    </row>
    <row r="51" spans="2:5">
      <c r="B51" s="55"/>
      <c r="C51" s="170" t="s">
        <v>28</v>
      </c>
      <c r="D51" s="170"/>
      <c r="E51" s="169"/>
    </row>
    <row r="52" spans="2:5">
      <c r="B52" s="55"/>
      <c r="C52" s="170" t="s">
        <v>29</v>
      </c>
      <c r="D52" s="170"/>
      <c r="E52" s="169"/>
    </row>
    <row r="53" spans="2:5">
      <c r="B53" s="55"/>
      <c r="C53" s="170" t="s">
        <v>21</v>
      </c>
      <c r="D53" s="170"/>
      <c r="E53" s="169"/>
    </row>
    <row r="54" spans="2:5">
      <c r="B54" s="55"/>
      <c r="C54" s="170" t="s">
        <v>82</v>
      </c>
      <c r="D54" s="171"/>
      <c r="E54" s="169"/>
    </row>
    <row r="55" spans="2:5">
      <c r="B55" s="55"/>
      <c r="C55" s="171" t="s">
        <v>96</v>
      </c>
    </row>
    <row r="56" spans="2:5">
      <c r="B56" s="55"/>
      <c r="C56" s="170" t="s">
        <v>85</v>
      </c>
    </row>
    <row r="57" spans="2:5">
      <c r="B57" s="55"/>
      <c r="C57" s="170" t="s">
        <v>86</v>
      </c>
    </row>
    <row r="58" spans="2:5">
      <c r="B58" s="55"/>
      <c r="C58" s="170" t="s">
        <v>49</v>
      </c>
    </row>
    <row r="59" spans="2:5">
      <c r="B59" s="55"/>
      <c r="C59" s="170" t="s">
        <v>48</v>
      </c>
    </row>
    <row r="60" spans="2:5">
      <c r="B60" s="55"/>
      <c r="C60" s="170" t="s">
        <v>89</v>
      </c>
    </row>
    <row r="61" spans="2:5">
      <c r="B61" s="55"/>
      <c r="C61" s="171" t="s">
        <v>97</v>
      </c>
    </row>
    <row r="62" spans="2:5">
      <c r="B62" s="55"/>
      <c r="C62" s="170" t="s">
        <v>72</v>
      </c>
    </row>
    <row r="63" spans="2:5">
      <c r="B63" s="55"/>
      <c r="C63" s="170" t="s">
        <v>31</v>
      </c>
    </row>
    <row r="64" spans="2:5">
      <c r="B64" s="55"/>
      <c r="C64" s="170" t="s">
        <v>32</v>
      </c>
    </row>
    <row r="65" spans="2:3">
      <c r="B65" s="55"/>
      <c r="C65" s="170" t="s">
        <v>33</v>
      </c>
    </row>
    <row r="66" spans="2:3">
      <c r="B66" s="55"/>
      <c r="C66" s="171" t="s">
        <v>83</v>
      </c>
    </row>
    <row r="67" spans="2:3">
      <c r="B67" s="55"/>
      <c r="C67" s="170" t="s">
        <v>74</v>
      </c>
    </row>
    <row r="68" spans="2:3">
      <c r="B68" s="55"/>
      <c r="C68" s="170" t="s">
        <v>30</v>
      </c>
    </row>
    <row r="69" spans="2:3">
      <c r="B69" s="55"/>
      <c r="C69" s="290" t="s">
        <v>20</v>
      </c>
    </row>
    <row r="70" spans="2:3">
      <c r="B70" s="55"/>
      <c r="C70" s="323"/>
    </row>
    <row r="71" spans="2:3">
      <c r="B71" s="55"/>
      <c r="C71" s="170"/>
    </row>
    <row r="72" spans="2:3" hidden="1">
      <c r="B72" s="55"/>
      <c r="C72" s="170"/>
    </row>
    <row r="73" spans="2:3" ht="13.5" hidden="1" customHeight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2"/>
    </row>
    <row r="80" spans="2:3" hidden="1">
      <c r="B80" s="55"/>
      <c r="C80" s="322"/>
    </row>
    <row r="81" spans="2:3">
      <c r="B81" s="55"/>
      <c r="C81" s="322"/>
    </row>
    <row r="82" spans="2:3">
      <c r="B82" s="55"/>
      <c r="C82" s="275"/>
    </row>
    <row r="83" spans="2:3" ht="30.75" customHeight="1">
      <c r="B83" s="16"/>
      <c r="C83" s="321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87</v>
      </c>
    </row>
    <row r="88" spans="2:3">
      <c r="B88" s="55"/>
      <c r="C88" s="170" t="s">
        <v>34</v>
      </c>
    </row>
    <row r="89" spans="2:3">
      <c r="B89" s="55"/>
      <c r="C89" s="170" t="s">
        <v>35</v>
      </c>
    </row>
    <row r="90" spans="2:3">
      <c r="B90" s="55"/>
      <c r="C90" s="170" t="s">
        <v>93</v>
      </c>
    </row>
    <row r="91" spans="2:3">
      <c r="B91" s="55"/>
      <c r="C91" s="171" t="s">
        <v>22</v>
      </c>
    </row>
    <row r="92" spans="2:3">
      <c r="B92" s="55"/>
      <c r="C92" s="170" t="s">
        <v>36</v>
      </c>
    </row>
    <row r="93" spans="2:3">
      <c r="B93" s="55"/>
      <c r="C93" s="170" t="s">
        <v>38</v>
      </c>
    </row>
    <row r="94" spans="2:3">
      <c r="B94" s="55"/>
      <c r="C94" s="170" t="s">
        <v>39</v>
      </c>
    </row>
    <row r="95" spans="2:3">
      <c r="B95" s="55"/>
      <c r="C95" s="170" t="s">
        <v>59</v>
      </c>
    </row>
    <row r="96" spans="2:3">
      <c r="B96" s="55"/>
      <c r="C96" s="171" t="s">
        <v>26</v>
      </c>
    </row>
    <row r="97" spans="2:3">
      <c r="B97" s="55"/>
      <c r="C97" s="170" t="s">
        <v>40</v>
      </c>
    </row>
    <row r="98" spans="2:3">
      <c r="B98" s="55"/>
      <c r="C98" s="171" t="s">
        <v>96</v>
      </c>
    </row>
    <row r="99" spans="2:3">
      <c r="B99" s="55"/>
      <c r="C99" s="170" t="s">
        <v>75</v>
      </c>
    </row>
    <row r="100" spans="2:3">
      <c r="B100" s="55"/>
      <c r="C100" s="170" t="s">
        <v>94</v>
      </c>
    </row>
    <row r="101" spans="2:3">
      <c r="B101" s="55"/>
      <c r="C101" s="171" t="s">
        <v>97</v>
      </c>
    </row>
    <row r="102" spans="2:3">
      <c r="B102" s="55"/>
      <c r="C102" s="170" t="s">
        <v>37</v>
      </c>
    </row>
    <row r="103" spans="2:3">
      <c r="B103" s="55"/>
      <c r="C103" s="170" t="s">
        <v>42</v>
      </c>
    </row>
    <row r="104" spans="2:3">
      <c r="B104" s="55"/>
      <c r="C104" s="170" t="s">
        <v>43</v>
      </c>
    </row>
    <row r="105" spans="2:3">
      <c r="B105" s="55"/>
      <c r="C105" s="170" t="s">
        <v>44</v>
      </c>
    </row>
    <row r="106" spans="2:3">
      <c r="B106" s="55"/>
      <c r="C106" s="170" t="s">
        <v>45</v>
      </c>
    </row>
    <row r="107" spans="2:3">
      <c r="B107" s="55"/>
      <c r="C107" s="170" t="s">
        <v>91</v>
      </c>
    </row>
    <row r="108" spans="2:3">
      <c r="B108" s="55"/>
      <c r="C108" s="170" t="s">
        <v>90</v>
      </c>
    </row>
    <row r="109" spans="2:3">
      <c r="B109" s="55"/>
      <c r="C109" s="171" t="s">
        <v>83</v>
      </c>
    </row>
    <row r="110" spans="2:3">
      <c r="C110" s="170" t="s">
        <v>41</v>
      </c>
    </row>
    <row r="111" spans="2:3">
      <c r="C111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M9" sqref="M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(janeiro-junho)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(janeiro-junho)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(junho)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(janeiro-junho)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(janeiro-junho)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(janeiro-junho)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(janeiro-junho)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(janeiro-junho)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(janeiro-junho)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(janeiro-junho)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(janeiro-junho)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(junho)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junho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junho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junho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junho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F13" sqref="F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QUADRO I - Execução orçamental consolidada (janeiro-junho)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654819.21324000007</v>
      </c>
      <c r="E5" s="57">
        <v>312159.31650000007</v>
      </c>
      <c r="F5" s="57">
        <v>207800.62122000006</v>
      </c>
      <c r="G5" s="57">
        <v>725274.43929000036</v>
      </c>
      <c r="H5" s="57">
        <v>2.9035567528008288</v>
      </c>
    </row>
    <row r="6" spans="1:10" ht="11.25" customHeight="1">
      <c r="C6" s="68" t="str">
        <f>+IF(Índice!$D$2=1,"Impostos diretos","Direct taxes")</f>
        <v>Impostos diretos</v>
      </c>
      <c r="D6" s="56">
        <v>117191.56672999999</v>
      </c>
      <c r="E6" s="56">
        <v>0</v>
      </c>
      <c r="F6" s="56">
        <v>0</v>
      </c>
      <c r="G6" s="56">
        <v>117191.56672999999</v>
      </c>
      <c r="H6" s="56">
        <v>-14.290037934145017</v>
      </c>
    </row>
    <row r="7" spans="1:10">
      <c r="C7" s="68" t="str">
        <f>+IF(Índice!$D$2=1,"Impostos indiretos","Indirect taxes")</f>
        <v>Impostos indiretos</v>
      </c>
      <c r="D7" s="56">
        <v>380129.86554000009</v>
      </c>
      <c r="E7" s="56">
        <v>0</v>
      </c>
      <c r="F7" s="56">
        <v>0</v>
      </c>
      <c r="G7" s="56">
        <v>380129.86554000009</v>
      </c>
      <c r="H7" s="56">
        <v>7.5024626504472947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157497.78096999999</v>
      </c>
      <c r="E9" s="56">
        <v>312159.31650000007</v>
      </c>
      <c r="F9" s="56">
        <v>207800.62122000006</v>
      </c>
      <c r="G9" s="56">
        <v>223188.82377000013</v>
      </c>
      <c r="H9" s="56">
        <v>18.727261606422374</v>
      </c>
    </row>
    <row r="10" spans="1:10">
      <c r="C10" s="69" t="str">
        <f>+IF(Índice!$D$2=1,"Transferências correntes","Current transfers")</f>
        <v>Transferências correntes</v>
      </c>
      <c r="D10" s="56">
        <v>133094.26764000001</v>
      </c>
      <c r="E10" s="56">
        <v>303730.03157000005</v>
      </c>
      <c r="F10" s="56">
        <v>179705.45590000006</v>
      </c>
      <c r="G10" s="56">
        <v>162275.39328000013</v>
      </c>
      <c r="H10" s="56">
        <v>25.848804597573682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132580.44</v>
      </c>
      <c r="E11" s="56">
        <v>942.80957000000001</v>
      </c>
      <c r="F11" s="56">
        <v>0</v>
      </c>
      <c r="G11" s="56">
        <v>133523.24957000001</v>
      </c>
      <c r="H11" s="56">
        <v>25.858563488673457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275557.59687999997</v>
      </c>
      <c r="F12" s="56">
        <v>178696.76495000004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4764.1832500000601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72335.270469999989</v>
      </c>
      <c r="E14" s="57">
        <v>4058.5774199999992</v>
      </c>
      <c r="F14" s="57">
        <v>35994.537310000007</v>
      </c>
      <c r="G14" s="57">
        <v>99701.894849999997</v>
      </c>
      <c r="H14" s="57">
        <v>32.362237705478414</v>
      </c>
    </row>
    <row r="15" spans="1:10">
      <c r="C15" s="68" t="str">
        <f>+IF(Índice!$D$2=1,"Venda de bens de investimento","Sale of investment goods")</f>
        <v>Venda de bens de investimento</v>
      </c>
      <c r="D15" s="56">
        <v>85.068930000000009</v>
      </c>
      <c r="E15" s="56">
        <v>0</v>
      </c>
      <c r="F15" s="56">
        <v>1413.6449299999999</v>
      </c>
      <c r="G15" s="56">
        <v>1498.7138599999998</v>
      </c>
      <c r="H15" s="56">
        <v>36.025011089652523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69668.185809999995</v>
      </c>
      <c r="E16" s="56">
        <v>3996.8333199999993</v>
      </c>
      <c r="F16" s="56">
        <v>34521.33928</v>
      </c>
      <c r="G16" s="56">
        <v>90793.813389999996</v>
      </c>
      <c r="H16" s="56">
        <v>31.115388148065335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47253.789720000001</v>
      </c>
      <c r="E17" s="56">
        <v>0</v>
      </c>
      <c r="F17" s="56">
        <v>0</v>
      </c>
      <c r="G17" s="56">
        <v>47253.789720000001</v>
      </c>
      <c r="H17" s="56">
        <v>-12.810914352847513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601.67572999999993</v>
      </c>
      <c r="F18" s="56">
        <v>16790.869289999999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4706.0546699999995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727154.48371000006</v>
      </c>
      <c r="E20" s="57">
        <v>316217.89392000006</v>
      </c>
      <c r="F20" s="57">
        <v>243795.15853000007</v>
      </c>
      <c r="G20" s="57">
        <v>824976.3341400004</v>
      </c>
      <c r="H20" s="57">
        <v>5.747905823193955</v>
      </c>
    </row>
    <row r="21" spans="3:8" ht="20.25" customHeight="1">
      <c r="C21" s="220" t="str">
        <f>+IF(Índice!$D$2=1,"Despesa corrente","Current expenditure")</f>
        <v>Despesa corrente</v>
      </c>
      <c r="D21" s="220">
        <v>680836.11845999979</v>
      </c>
      <c r="E21" s="220">
        <v>294748.92910999991</v>
      </c>
      <c r="F21" s="220">
        <v>219072.44231999983</v>
      </c>
      <c r="G21" s="220">
        <v>745152.77821999951</v>
      </c>
      <c r="H21" s="220">
        <v>7.4466927476092959</v>
      </c>
    </row>
    <row r="22" spans="3:8" ht="10.5" customHeight="1">
      <c r="C22" s="68" t="str">
        <f>+IF(Índice!$D$2=1,"Consumo público","Public consumption")</f>
        <v>Consumo público</v>
      </c>
      <c r="D22" s="56">
        <v>307102.51679999963</v>
      </c>
      <c r="E22" s="56">
        <v>93069.398139999976</v>
      </c>
      <c r="F22" s="56">
        <v>211512.09276999981</v>
      </c>
      <c r="G22" s="56">
        <v>611684.00770999945</v>
      </c>
      <c r="H22" s="56">
        <v>9.2849558386410855</v>
      </c>
    </row>
    <row r="23" spans="3:8">
      <c r="C23" s="69" t="str">
        <f>+IF(Índice!$D$2=1,"Despesas com o pessoal","Compensation of employees")</f>
        <v>Despesas com o pessoal</v>
      </c>
      <c r="D23" s="56">
        <v>236398.90545999966</v>
      </c>
      <c r="E23" s="56">
        <v>31465.089309999985</v>
      </c>
      <c r="F23" s="56">
        <v>146214.51170999982</v>
      </c>
      <c r="G23" s="56">
        <v>414078.50647999946</v>
      </c>
      <c r="H23" s="56">
        <v>9.3957364961874781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70703.611340000003</v>
      </c>
      <c r="E24" s="56">
        <v>61604.308829999994</v>
      </c>
      <c r="F24" s="56">
        <v>65297.581060000004</v>
      </c>
      <c r="G24" s="56">
        <v>197605.50122999999</v>
      </c>
      <c r="H24" s="56">
        <v>9.0535432501690707</v>
      </c>
    </row>
    <row r="25" spans="3:8">
      <c r="C25" s="68" t="str">
        <f>+IF(Índice!$D$2=1,"Subsídios","Subsidies")</f>
        <v>Subsídios</v>
      </c>
      <c r="D25" s="56">
        <v>1113.3016500000001</v>
      </c>
      <c r="E25" s="56">
        <v>16626.906790000001</v>
      </c>
      <c r="F25" s="56">
        <v>6.5214400000000001</v>
      </c>
      <c r="G25" s="56">
        <v>17732.196790000002</v>
      </c>
      <c r="H25" s="56">
        <v>18.984251268437767</v>
      </c>
    </row>
    <row r="26" spans="3:8">
      <c r="C26" s="68" t="str">
        <f>+IF(Índice!$D$2=1,"Juros e outros encargos","Interests and other charges")</f>
        <v>Juros e outros encargos</v>
      </c>
      <c r="D26" s="56">
        <v>52874.850559999992</v>
      </c>
      <c r="E26" s="56">
        <v>2219.9604099999997</v>
      </c>
      <c r="F26" s="56">
        <v>468.5173200000001</v>
      </c>
      <c r="G26" s="56">
        <v>55563.32828999999</v>
      </c>
      <c r="H26" s="56">
        <v>-9.4892528458398786</v>
      </c>
    </row>
    <row r="27" spans="3:8">
      <c r="C27" s="68" t="str">
        <f>+IF(Índice!$D$2=1,"Transferências correntes","Current transfers")</f>
        <v>Transferências correntes</v>
      </c>
      <c r="D27" s="56">
        <v>319745.44945000013</v>
      </c>
      <c r="E27" s="56">
        <v>182832.66376999996</v>
      </c>
      <c r="F27" s="56">
        <v>7085.3107900000005</v>
      </c>
      <c r="G27" s="56">
        <v>60173.245430000126</v>
      </c>
      <c r="H27" s="56">
        <v>4.6438420494935739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1273.05844</v>
      </c>
      <c r="F28" s="56">
        <v>0</v>
      </c>
      <c r="G28" s="56">
        <v>1273.05844</v>
      </c>
      <c r="H28" s="56">
        <v>-9.4331134558486962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286430.08945999993</v>
      </c>
      <c r="E29" s="56">
        <v>163060.08912000002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50155.249489999995</v>
      </c>
      <c r="E31" s="57">
        <v>2634.2326799999996</v>
      </c>
      <c r="F31" s="57">
        <v>31219.357339999995</v>
      </c>
      <c r="G31" s="57">
        <v>71322.349159999998</v>
      </c>
      <c r="H31" s="57">
        <v>29.913378723408979</v>
      </c>
    </row>
    <row r="32" spans="3:8">
      <c r="C32" s="68" t="str">
        <f>+IF(Índice!$D$2=1,"Investimento","Investment")</f>
        <v>Investimento</v>
      </c>
      <c r="D32" s="56">
        <v>28056.486029999993</v>
      </c>
      <c r="E32" s="56">
        <v>694.86017999999979</v>
      </c>
      <c r="F32" s="56">
        <v>30645.584659999997</v>
      </c>
      <c r="G32" s="56">
        <v>59396.930869999989</v>
      </c>
      <c r="H32" s="56">
        <v>24.127529817040806</v>
      </c>
    </row>
    <row r="33" spans="3:8">
      <c r="C33" s="68" t="str">
        <f>+IF(Índice!$D$2=1,"Transferências capital","Capital transfers")</f>
        <v>Transferências capital</v>
      </c>
      <c r="D33" s="56">
        <v>22098.763460000002</v>
      </c>
      <c r="E33" s="56">
        <v>1939.3724999999999</v>
      </c>
      <c r="F33" s="56">
        <v>573.77267999999992</v>
      </c>
      <c r="G33" s="56">
        <v>11925.418290000003</v>
      </c>
      <c r="H33" s="56">
        <v>69.193525162389989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3185.3149800000001</v>
      </c>
      <c r="E34" s="56">
        <v>0</v>
      </c>
      <c r="F34" s="56">
        <v>0</v>
      </c>
      <c r="G34" s="56">
        <v>3185.3149800000001</v>
      </c>
      <c r="H34" s="56">
        <v>-14.851669648978271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12686.490349999998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730991.36794999975</v>
      </c>
      <c r="E38" s="86">
        <v>297383.16178999993</v>
      </c>
      <c r="F38" s="86">
        <v>250291.79965999982</v>
      </c>
      <c r="G38" s="86">
        <v>816475.1273799995</v>
      </c>
      <c r="H38" s="86">
        <v>9.0947475877695574</v>
      </c>
    </row>
    <row r="39" spans="3:8" ht="17.25" customHeight="1">
      <c r="C39" s="138" t="str">
        <f>+IF(Índice!$D$2=1,"Saldo global","Overall balance")</f>
        <v>Saldo global</v>
      </c>
      <c r="D39" s="139">
        <v>-3836.8842399996938</v>
      </c>
      <c r="E39" s="139">
        <v>18834.732130000135</v>
      </c>
      <c r="F39" s="139">
        <v>-6496.6411299997417</v>
      </c>
      <c r="G39" s="139">
        <v>8501.2067600009032</v>
      </c>
      <c r="H39" s="139">
        <v>-73.204049267382516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-26016.905219999724</v>
      </c>
      <c r="E41" s="19">
        <v>17410.387390000164</v>
      </c>
      <c r="F41" s="19">
        <v>-11271.821099999768</v>
      </c>
      <c r="G41" s="19">
        <v>-19878.338929999154</v>
      </c>
      <c r="H41" s="19">
        <v>-275.9049948171596</v>
      </c>
    </row>
    <row r="42" spans="3:8">
      <c r="C42" s="68" t="str">
        <f>+IF(Índice!$D$2=1,"Despesa corrente primária","Primary current expenditure")</f>
        <v>Despesa corrente primária</v>
      </c>
      <c r="D42" s="19">
        <v>627961.26789999986</v>
      </c>
      <c r="E42" s="19">
        <v>292528.96869999991</v>
      </c>
      <c r="F42" s="19">
        <v>218603.92499999981</v>
      </c>
      <c r="G42" s="19">
        <v>689589.44992999954</v>
      </c>
      <c r="H42" s="19">
        <v>9.0914340348804412</v>
      </c>
    </row>
    <row r="43" spans="3:8">
      <c r="C43" s="68" t="str">
        <f>+IF(Índice!$D$2=1,"Saldo corrente primário","Primary current balance")</f>
        <v>Saldo corrente primário</v>
      </c>
      <c r="D43" s="19">
        <v>26857.945340000209</v>
      </c>
      <c r="E43" s="19">
        <v>19630.347800000163</v>
      </c>
      <c r="F43" s="19">
        <v>-10803.303779999755</v>
      </c>
      <c r="G43" s="19">
        <v>35684.989360000822</v>
      </c>
      <c r="H43" s="19">
        <v>-50.907482642068544</v>
      </c>
    </row>
    <row r="44" spans="3:8">
      <c r="C44" s="68" t="str">
        <f>+IF(Índice!$D$2=1,"Saldo de capital","Capital balance")</f>
        <v>Saldo de capital</v>
      </c>
      <c r="D44" s="19">
        <v>22180.020979999994</v>
      </c>
      <c r="E44" s="19">
        <v>1424.3447399999995</v>
      </c>
      <c r="F44" s="19">
        <v>4775.179970000012</v>
      </c>
      <c r="G44" s="19">
        <v>28379.545689999999</v>
      </c>
      <c r="H44" s="19">
        <v>38.944440741484357</v>
      </c>
    </row>
    <row r="45" spans="3:8">
      <c r="C45" s="68" t="str">
        <f t="array" ref="C45">+IF(Índice!$D$2=1,"Despesa primária","Primary expenditure")</f>
        <v>Despesa primária</v>
      </c>
      <c r="D45" s="19">
        <v>678116.5173899997</v>
      </c>
      <c r="E45" s="19">
        <v>295163.20137999993</v>
      </c>
      <c r="F45" s="19">
        <v>249823.2823399998</v>
      </c>
      <c r="G45" s="19">
        <v>760911.79908999952</v>
      </c>
      <c r="H45" s="19">
        <v>10.75531910157348</v>
      </c>
    </row>
    <row r="46" spans="3:8">
      <c r="C46" s="221" t="str">
        <f>+IF(Índice!$D$2=1,"Saldo primário","Primary balance")</f>
        <v>Saldo primário</v>
      </c>
      <c r="D46" s="132">
        <v>49037.966320000356</v>
      </c>
      <c r="E46" s="132">
        <v>21054.692540000135</v>
      </c>
      <c r="F46" s="132">
        <v>-6028.1238099997281</v>
      </c>
      <c r="G46" s="132">
        <v>64064.535050000879</v>
      </c>
      <c r="H46" s="132">
        <v>-31.198012615775184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QUADRO II - Execução orçamental do Gov. Regional (janeiro-junho)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628329.27283999999</v>
      </c>
      <c r="E5" s="225">
        <v>654819.21324000019</v>
      </c>
      <c r="F5" s="225">
        <v>4.2159328786748551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490331.46836999996</v>
      </c>
      <c r="E6" s="231">
        <v>497321.43227000011</v>
      </c>
      <c r="F6" s="231">
        <v>1.4255589026820559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136730.39155</v>
      </c>
      <c r="E7" s="231">
        <v>117191.56672999999</v>
      </c>
      <c r="F7" s="231">
        <v>-14.290037934145017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353601.07681999996</v>
      </c>
      <c r="E8" s="231">
        <v>380129.86554000009</v>
      </c>
      <c r="F8" s="231">
        <v>7.5024626504473391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137997.80446999997</v>
      </c>
      <c r="E9" s="231">
        <v>157497.78097000002</v>
      </c>
      <c r="F9" s="231">
        <v>14.130642567026674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62326.990360000003</v>
      </c>
      <c r="E10" s="232">
        <v>72335.270469999989</v>
      </c>
      <c r="F10" s="232">
        <v>16.057698361804839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690656.26320000004</v>
      </c>
      <c r="E12" s="232">
        <v>727154.48371000018</v>
      </c>
      <c r="F12" s="232">
        <v>5.2845709877289648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643873.66668000061</v>
      </c>
      <c r="E14" s="232">
        <v>680836.11845999991</v>
      </c>
      <c r="F14" s="232">
        <v>5.7406372853526344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223093.76582000061</v>
      </c>
      <c r="E15" s="231">
        <v>236398.90545999995</v>
      </c>
      <c r="F15" s="231">
        <v>5.9639226542683277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76268.519140000004</v>
      </c>
      <c r="E16" s="231">
        <v>70263.921929999997</v>
      </c>
      <c r="F16" s="231">
        <v>-7.8729694475617729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60398.253429999975</v>
      </c>
      <c r="E17" s="231">
        <v>52874.850559999992</v>
      </c>
      <c r="F17" s="231">
        <v>-12.456325212647767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271542.5820900001</v>
      </c>
      <c r="E18" s="231">
        <v>319745.44944999996</v>
      </c>
      <c r="F18" s="231">
        <v>17.751494807552316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239041.20854000008</v>
      </c>
      <c r="E19" s="231">
        <v>286430.08945999993</v>
      </c>
      <c r="F19" s="231">
        <v>19.82456548368312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32501.37355</v>
      </c>
      <c r="E20" s="231">
        <v>33315.359989999997</v>
      </c>
      <c r="F20" s="231">
        <v>2.5044678150225375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12124.10996</v>
      </c>
      <c r="E21" s="231">
        <v>1113.3016500000001</v>
      </c>
      <c r="F21" s="231">
        <v>-90.817456673743337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446.43624000000011</v>
      </c>
      <c r="E22" s="231">
        <v>439.68941000000001</v>
      </c>
      <c r="F22" s="231">
        <v>-1.5112639601122191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48033.951669999937</v>
      </c>
      <c r="E23" s="232">
        <v>50155.249489999987</v>
      </c>
      <c r="F23" s="232">
        <v>4.4162467301746666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36009.156869999933</v>
      </c>
      <c r="E24" s="231">
        <v>28056.486029999993</v>
      </c>
      <c r="F24" s="231">
        <v>-22.08513481365485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12024.7948</v>
      </c>
      <c r="E25" s="231">
        <v>22098.763459999998</v>
      </c>
      <c r="F25" s="231">
        <v>83.776636753917828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10749.572</v>
      </c>
      <c r="E26" s="231">
        <v>15871.805329999999</v>
      </c>
      <c r="F26" s="231">
        <v>47.650579297482707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1275.2228</v>
      </c>
      <c r="E27" s="231">
        <v>6226.9581299999991</v>
      </c>
      <c r="F27" s="231">
        <v>388.3035442904565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691907.61835000059</v>
      </c>
      <c r="E29" s="235">
        <v>730991.36794999987</v>
      </c>
      <c r="F29" s="235">
        <v>5.6486947915391772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-1251.3551500005487</v>
      </c>
      <c r="E31" s="139">
        <v>-3836.8842399997229</v>
      </c>
      <c r="F31" s="139">
        <v>-206.61832813794234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-15544.393840000615</v>
      </c>
      <c r="E33" s="19">
        <v>-26016.905219999724</v>
      </c>
      <c r="F33" s="19">
        <v>-67.371629204672118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14293.038690000067</v>
      </c>
      <c r="E34" s="19">
        <v>22180.020980000001</v>
      </c>
      <c r="F34" s="19">
        <v>55.180584486334297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59146.898279999426</v>
      </c>
      <c r="E35" s="19">
        <v>49037.966320000269</v>
      </c>
      <c r="F35" s="19">
        <v>-17.09122921736963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8127.4985299999998</v>
      </c>
      <c r="E36" s="106">
        <v>27335.067079999997</v>
      </c>
      <c r="F36" s="106">
        <v>236.32817008949982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F13" sqref="F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QUADRO III - Execução orçamental do Gov. Regional (junho)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98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77188.726060000045</v>
      </c>
      <c r="E5" s="225">
        <v>87734.261450000151</v>
      </c>
      <c r="F5" s="225">
        <v>13.662015074329492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59850.431710000041</v>
      </c>
      <c r="E6" s="231">
        <v>77231.37037000015</v>
      </c>
      <c r="F6" s="231">
        <v>29.040623707140334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0</v>
      </c>
      <c r="E7" s="231">
        <v>10403.023479999989</v>
      </c>
      <c r="F7" s="231">
        <v>0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59850.431710000041</v>
      </c>
      <c r="E8" s="231">
        <v>66828.346890000161</v>
      </c>
      <c r="F8" s="231">
        <v>11.65892205057264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17338.294349999996</v>
      </c>
      <c r="E9" s="231">
        <v>10502.891079999999</v>
      </c>
      <c r="F9" s="231">
        <v>-39.423735299545179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2044.1655200000023</v>
      </c>
      <c r="E10" s="232">
        <v>1838.5345200000027</v>
      </c>
      <c r="F10" s="232">
        <v>-10.059410453220019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79232.891580000054</v>
      </c>
      <c r="E12" s="232">
        <v>89572.795970000152</v>
      </c>
      <c r="F12" s="232">
        <v>13.050015194207676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149056.65336000072</v>
      </c>
      <c r="E14" s="232">
        <v>141511.32647999955</v>
      </c>
      <c r="F14" s="232">
        <v>-5.0620530582943797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58183.657310000744</v>
      </c>
      <c r="E15" s="231">
        <v>59285.641289999541</v>
      </c>
      <c r="F15" s="231">
        <v>1.8939750970405012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4597.2523200000378</v>
      </c>
      <c r="E16" s="231">
        <v>9197.4386800000066</v>
      </c>
      <c r="F16" s="231">
        <v>100.06382160028866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11569.657549999989</v>
      </c>
      <c r="E17" s="231">
        <v>7904.1151400000008</v>
      </c>
      <c r="F17" s="231">
        <v>-31.682376026764871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74645.647559999969</v>
      </c>
      <c r="E18" s="231">
        <v>65056.118370000004</v>
      </c>
      <c r="F18" s="231">
        <v>-12.846735882747783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0</v>
      </c>
      <c r="E19" s="231">
        <v>0</v>
      </c>
      <c r="F19" s="231">
        <v>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60.438620000000114</v>
      </c>
      <c r="E20" s="231">
        <v>68.012999999999948</v>
      </c>
      <c r="F20" s="231">
        <v>12.532351003381326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6839.9561199999362</v>
      </c>
      <c r="E21" s="232">
        <v>11252.936600000001</v>
      </c>
      <c r="F21" s="232">
        <v>64.517672373607368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6012.0827099999378</v>
      </c>
      <c r="E22" s="231">
        <v>2758.9004099999929</v>
      </c>
      <c r="F22" s="231">
        <v>-54.110737608265183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827.87340999999833</v>
      </c>
      <c r="E23" s="231">
        <v>8494.036190000008</v>
      </c>
      <c r="F23" s="231">
        <v>926.00664393847671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155896.60948000065</v>
      </c>
      <c r="E25" s="300">
        <v>152764.26307999954</v>
      </c>
      <c r="F25" s="300">
        <v>-2.0092460063430351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-76663.7179000006</v>
      </c>
      <c r="E27" s="287">
        <v>-63191.467109999387</v>
      </c>
      <c r="F27" s="287">
        <v>17.573176933023625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-71867.92730000068</v>
      </c>
      <c r="E29" s="19">
        <v>-53777.065029999401</v>
      </c>
      <c r="F29" s="19">
        <v>25.172372363660898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-4795.7905999999339</v>
      </c>
      <c r="E30" s="19">
        <v>-9414.402079999998</v>
      </c>
      <c r="F30" s="19">
        <v>-96.305528435710428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-65094.060350000611</v>
      </c>
      <c r="E31" s="19">
        <v>-55287.351969999385</v>
      </c>
      <c r="F31" s="19">
        <v>15.06544272591398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QUADRO IV - Execução orçamental da receita fiscal do Gov. Reg. (janeiro-junho)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490331.46836999996</v>
      </c>
      <c r="E5" s="33">
        <v>497321.43227000011</v>
      </c>
      <c r="F5" s="270">
        <v>0.39862400879825077</v>
      </c>
      <c r="G5" s="270">
        <v>1.4255589026820559E-2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136730.39155</v>
      </c>
      <c r="E7" s="70">
        <v>117191.56672999999</v>
      </c>
      <c r="F7" s="271">
        <v>0.25518659989201214</v>
      </c>
      <c r="G7" s="271">
        <v>-0.14290037934145017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84634.890920000005</v>
      </c>
      <c r="E8" s="70">
        <v>94738.452430000005</v>
      </c>
      <c r="F8" s="271">
        <v>0.39795745620800255</v>
      </c>
      <c r="G8" s="271">
        <v>0.1193782067912188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52095.500629999995</v>
      </c>
      <c r="E9" s="70">
        <v>22453.114299999997</v>
      </c>
      <c r="F9" s="271">
        <v>0.10151651693083018</v>
      </c>
      <c r="G9" s="271">
        <v>-0.5690008920449835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353601.07681999996</v>
      </c>
      <c r="E11" s="70">
        <v>380129.86554000009</v>
      </c>
      <c r="F11" s="271">
        <v>0.48218012368829605</v>
      </c>
      <c r="G11" s="271">
        <v>7.5024626504473391E-2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15995.47277</v>
      </c>
      <c r="E12" s="70">
        <v>20227.17122</v>
      </c>
      <c r="F12" s="271">
        <v>0.42139940041666668</v>
      </c>
      <c r="G12" s="271">
        <v>0.26455600974399962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287253.45306000003</v>
      </c>
      <c r="E13" s="70">
        <v>300607.70832999999</v>
      </c>
      <c r="F13" s="271">
        <v>0.49932507271293047</v>
      </c>
      <c r="G13" s="271">
        <v>4.6489450788988806E-2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2718.1512599999996</v>
      </c>
      <c r="E14" s="70">
        <v>3073.2037700000001</v>
      </c>
      <c r="F14" s="271">
        <v>0.40796545466613571</v>
      </c>
      <c r="G14" s="271">
        <v>0.13062279322895387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14830.523009999999</v>
      </c>
      <c r="E15" s="70">
        <v>19962.693509999997</v>
      </c>
      <c r="F15" s="271">
        <v>0.39518461470393207</v>
      </c>
      <c r="G15" s="271">
        <v>0.3460545859737687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4591.7401500000005</v>
      </c>
      <c r="E16" s="70">
        <v>4767.3474899999992</v>
      </c>
      <c r="F16" s="271">
        <v>0.37169013593651834</v>
      </c>
      <c r="G16" s="271">
        <v>3.8244180694763097E-2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28211.736569999997</v>
      </c>
      <c r="E17" s="70">
        <v>31491.74122</v>
      </c>
      <c r="F17" s="271">
        <v>0.46685895655780346</v>
      </c>
      <c r="G17" s="271">
        <v>0.11626383373676896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15767.651680000001</v>
      </c>
      <c r="E18" s="70">
        <v>17847.502240000002</v>
      </c>
      <c r="F18" s="271">
        <v>0.47633437769693704</v>
      </c>
      <c r="G18" s="271">
        <v>0.13190617107797498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2976.5396299999998</v>
      </c>
      <c r="E19" s="70">
        <v>3977.3683999999998</v>
      </c>
      <c r="F19" s="271">
        <v>0.48975131753927992</v>
      </c>
      <c r="G19" s="271">
        <v>0.33623902061065447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200324.79482999997</v>
      </c>
      <c r="E21" s="33">
        <v>229833.05144000001</v>
      </c>
      <c r="F21" s="270">
        <v>0.34291467212614551</v>
      </c>
      <c r="G21" s="270">
        <v>0.14730206829884129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690656.26319999993</v>
      </c>
      <c r="E23" s="139">
        <v>727154.48371000006</v>
      </c>
      <c r="F23" s="274">
        <v>0.3791549717393502</v>
      </c>
      <c r="G23" s="274">
        <v>5.2845709877289648E-2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QUADRO V - Execução orçamental da receita não fiscal do Gov. Reg. (janeiro-junho)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490331.46836999996</v>
      </c>
      <c r="E5" s="41">
        <v>497321.43227000011</v>
      </c>
      <c r="F5" s="276">
        <v>0.39862400879825077</v>
      </c>
      <c r="G5" s="42">
        <v>1.4255589026820559E-2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200324.79482999997</v>
      </c>
      <c r="E7" s="41">
        <v>229833.05144000001</v>
      </c>
      <c r="F7" s="276">
        <v>0.34291467212614551</v>
      </c>
      <c r="G7" s="42">
        <v>0.14730206829884129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137997.80446999997</v>
      </c>
      <c r="E8" s="41">
        <v>157497.78097000002</v>
      </c>
      <c r="F8" s="276">
        <v>0.4100828834228934</v>
      </c>
      <c r="G8" s="42">
        <v>0.14130642567026674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13352.033710000002</v>
      </c>
      <c r="E10" s="71">
        <v>14326.34405</v>
      </c>
      <c r="F10" s="278">
        <v>0.32310109817454746</v>
      </c>
      <c r="G10" s="43">
        <v>7.2970931706852094E-2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4829.7787400000007</v>
      </c>
      <c r="E11" s="71">
        <v>3023.0491200000001</v>
      </c>
      <c r="F11" s="278">
        <v>0.40749403731199035</v>
      </c>
      <c r="G11" s="43">
        <v>-0.37408124000313947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107264.59849999999</v>
      </c>
      <c r="E12" s="71">
        <v>133094.26764000001</v>
      </c>
      <c r="F12" s="278">
        <v>0.44297379860547975</v>
      </c>
      <c r="G12" s="43">
        <v>0.24080329858317628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5371.8887400000003</v>
      </c>
      <c r="E13" s="47">
        <v>5746.9338699999998</v>
      </c>
      <c r="F13" s="278">
        <v>0.4123423048772254</v>
      </c>
      <c r="G13" s="43">
        <v>6.9816250513036415E-2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7179.5047799999993</v>
      </c>
      <c r="E14" s="71">
        <v>1307.1862900000003</v>
      </c>
      <c r="F14" s="278">
        <v>7.2982562054252895E-2</v>
      </c>
      <c r="G14" s="43">
        <v>-0.81792807024219294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62326.990360000003</v>
      </c>
      <c r="E17" s="41">
        <v>72335.270469999989</v>
      </c>
      <c r="F17" s="276">
        <v>0.2527697039161772</v>
      </c>
      <c r="G17" s="42">
        <v>0.1605769836180484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866.71383000000003</v>
      </c>
      <c r="E18" s="71">
        <v>85.068930000000009</v>
      </c>
      <c r="F18" s="278">
        <v>7.9378403390686445E-3</v>
      </c>
      <c r="G18" s="43">
        <v>-0.90184888361594506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58341.229149999999</v>
      </c>
      <c r="E19" s="44">
        <v>69668.185809999995</v>
      </c>
      <c r="F19" s="278">
        <v>0.26197641617639661</v>
      </c>
      <c r="G19" s="43">
        <v>0.19415012033561174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16.498419999999999</v>
      </c>
      <c r="E20" s="71">
        <v>12.79744</v>
      </c>
      <c r="F20" s="278">
        <v>0.83305819554745475</v>
      </c>
      <c r="G20" s="43">
        <v>-0.22432329883710078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3102.5489599999996</v>
      </c>
      <c r="E21" s="47">
        <v>2569.2182899999998</v>
      </c>
      <c r="F21" s="278">
        <v>0.27029158607177128</v>
      </c>
      <c r="G21" s="43">
        <v>-0.17190080700612054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690656.26319999993</v>
      </c>
      <c r="E23" s="287">
        <v>727154.48371000006</v>
      </c>
      <c r="F23" s="288">
        <v>0.3791549717393502</v>
      </c>
      <c r="G23" s="288">
        <v>5.2845709877289648E-2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QUADRO VI - Execução orçamental das despesas do Governo Regional (janeiro-junho)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643873.66668000061</v>
      </c>
      <c r="E5" s="253">
        <v>680836.11845999991</v>
      </c>
      <c r="F5" s="253">
        <v>41.42276120834773</v>
      </c>
      <c r="G5" s="253">
        <v>42.907392721853583</v>
      </c>
      <c r="H5" s="253">
        <v>5.7406372853526424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223093.76582000061</v>
      </c>
      <c r="E6" s="74">
        <v>236398.90545999995</v>
      </c>
      <c r="F6" s="74">
        <v>46.251895475234022</v>
      </c>
      <c r="G6" s="74">
        <v>48.520885766253024</v>
      </c>
      <c r="H6" s="254">
        <v>5.9639226542683232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188291.72344000035</v>
      </c>
      <c r="E7" s="75">
        <v>191032.85039999997</v>
      </c>
      <c r="F7" s="75">
        <v>48.486925740788635</v>
      </c>
      <c r="G7" s="75">
        <v>50.140679450164505</v>
      </c>
      <c r="H7" s="254">
        <v>1.4557872804606216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2421.9334799999992</v>
      </c>
      <c r="E8" s="75">
        <v>10652.04567</v>
      </c>
      <c r="F8" s="75">
        <v>30.496361175479386</v>
      </c>
      <c r="G8" s="75">
        <v>72.830974541540144</v>
      </c>
      <c r="H8" s="254">
        <v>339.81578181082011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32380.10890000001</v>
      </c>
      <c r="E9" s="75">
        <v>34714.009389999985</v>
      </c>
      <c r="F9" s="75">
        <v>37.621377798507559</v>
      </c>
      <c r="G9" s="75">
        <v>37.901045794100327</v>
      </c>
      <c r="H9" s="254">
        <v>7.2078216203898373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76268.519140000004</v>
      </c>
      <c r="E10" s="75">
        <v>70263.921929999997</v>
      </c>
      <c r="F10" s="75">
        <v>35.634662099074298</v>
      </c>
      <c r="G10" s="75">
        <v>31.357490137167172</v>
      </c>
      <c r="H10" s="254">
        <v>-7.8729694475617782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60398.253429999975</v>
      </c>
      <c r="E11" s="75">
        <v>52874.850559999992</v>
      </c>
      <c r="F11" s="75">
        <v>41.142096082569267</v>
      </c>
      <c r="G11" s="75">
        <v>38.605603398488434</v>
      </c>
      <c r="H11" s="254">
        <v>-12.456325212647771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271542.5820900001</v>
      </c>
      <c r="E12" s="74">
        <v>319745.44944999996</v>
      </c>
      <c r="F12" s="74">
        <v>40.897870068699319</v>
      </c>
      <c r="G12" s="74">
        <v>44.371926432777435</v>
      </c>
      <c r="H12" s="254">
        <v>17.751494807552319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239041.20854000008</v>
      </c>
      <c r="E13" s="74">
        <v>286430.08945999993</v>
      </c>
      <c r="F13" s="74">
        <v>43.248659958245547</v>
      </c>
      <c r="G13" s="74">
        <v>47.230722591524973</v>
      </c>
      <c r="H13" s="254">
        <v>19.824565483683124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238935.92454000007</v>
      </c>
      <c r="E15" s="75">
        <v>286430.08945999993</v>
      </c>
      <c r="F15" s="75">
        <v>43.267192259204677</v>
      </c>
      <c r="G15" s="75">
        <v>47.278074752886752</v>
      </c>
      <c r="H15" s="254">
        <v>19.877364616239994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32501.37355</v>
      </c>
      <c r="E18" s="75">
        <v>33315.359989999997</v>
      </c>
      <c r="F18" s="72">
        <v>29.217525569131325</v>
      </c>
      <c r="G18" s="72">
        <v>29.184481643041142</v>
      </c>
      <c r="H18" s="77">
        <v>2.5044678150225343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12124.10996</v>
      </c>
      <c r="E19" s="72">
        <v>1113.3016500000001</v>
      </c>
      <c r="F19" s="72">
        <v>27.345611997207815</v>
      </c>
      <c r="G19" s="72">
        <v>9.7988898128663919</v>
      </c>
      <c r="H19" s="77">
        <v>-90.817456673743337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446.43624000000011</v>
      </c>
      <c r="E20" s="72">
        <v>439.68941000000001</v>
      </c>
      <c r="F20" s="72">
        <v>15.246191664315953</v>
      </c>
      <c r="G20" s="72">
        <v>6.7163222629220147</v>
      </c>
      <c r="H20" s="77">
        <v>-1.5112639601122213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583475.41325000068</v>
      </c>
      <c r="E22" s="78">
        <v>627961.26789999986</v>
      </c>
      <c r="F22" s="78">
        <v>41.452033026174512</v>
      </c>
      <c r="G22" s="78">
        <v>43.313781010884675</v>
      </c>
      <c r="H22" s="76">
        <v>7.6242894970003485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48033.951669999937</v>
      </c>
      <c r="E24" s="78">
        <v>50155.249489999987</v>
      </c>
      <c r="F24" s="78">
        <v>15.845655594965773</v>
      </c>
      <c r="G24" s="78">
        <v>14.619054103140586</v>
      </c>
      <c r="H24" s="76">
        <v>4.416246730174664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36009.156869999933</v>
      </c>
      <c r="E25" s="72">
        <v>28056.486029999993</v>
      </c>
      <c r="F25" s="72">
        <v>18.482852367046657</v>
      </c>
      <c r="G25" s="72">
        <v>15.539324366134652</v>
      </c>
      <c r="H25" s="77">
        <v>-22.085134813654843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12024.7948</v>
      </c>
      <c r="E26" s="59">
        <v>22098.763459999998</v>
      </c>
      <c r="F26" s="59">
        <v>11.102023781596264</v>
      </c>
      <c r="G26" s="59">
        <v>13.766140502188623</v>
      </c>
      <c r="H26" s="77">
        <v>83.776636753917828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10749.572</v>
      </c>
      <c r="E27" s="59">
        <v>15871.805329999999</v>
      </c>
      <c r="F27" s="59">
        <v>15.004671873146153</v>
      </c>
      <c r="G27" s="59">
        <v>14.997504508235979</v>
      </c>
      <c r="H27" s="77">
        <v>47.650579297482722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3269.2869999999998</v>
      </c>
      <c r="E28" s="72">
        <v>3185.3149800000001</v>
      </c>
      <c r="F28" s="72">
        <v>42.65571328274158</v>
      </c>
      <c r="G28" s="72">
        <v>29.067429128341683</v>
      </c>
      <c r="H28" s="77">
        <v>-2.5685117274806313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7009.5056399999994</v>
      </c>
      <c r="E29" s="72">
        <v>12686.490349999998</v>
      </c>
      <c r="F29" s="72">
        <v>12.128187126521519</v>
      </c>
      <c r="G29" s="72">
        <v>14.854926860111023</v>
      </c>
      <c r="H29" s="77">
        <v>80.989801586064488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691907.61835000059</v>
      </c>
      <c r="E33" s="142">
        <v>730991.36794999987</v>
      </c>
      <c r="F33" s="143">
        <v>37.248754485404042</v>
      </c>
      <c r="G33" s="143">
        <v>37.878370007190554</v>
      </c>
      <c r="H33" s="141">
        <v>5.6486947915391816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8127.4985299999998</v>
      </c>
      <c r="E36" s="150">
        <v>27335.067079999997</v>
      </c>
      <c r="F36" s="150">
        <v>17.060852076728526</v>
      </c>
      <c r="G36" s="150">
        <v>45.769620824026291</v>
      </c>
      <c r="H36" s="128">
        <v>236.32817008949982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131262.83112000002</v>
      </c>
      <c r="E37" s="150">
        <v>117740.77742</v>
      </c>
      <c r="F37" s="150">
        <v>49.574851421981606</v>
      </c>
      <c r="G37" s="150">
        <v>25.388595269037506</v>
      </c>
      <c r="H37" s="128">
        <v>-10.301510019723866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QUADRO VII - Despesa do Governo Regional, por classificação funcional (janeiro-junho)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106323.54192</v>
      </c>
      <c r="E5" s="34">
        <v>105345.00298000003</v>
      </c>
      <c r="F5" s="34">
        <v>14.411251294995548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5518.7666600000011</v>
      </c>
      <c r="E7" s="34">
        <v>6432.1083900000021</v>
      </c>
      <c r="F7" s="34">
        <v>0.87991577903830454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113069.78887999995</v>
      </c>
      <c r="E8" s="34">
        <v>97033.985110000009</v>
      </c>
      <c r="F8" s="34">
        <v>13.274299720135293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8873.2659299999996</v>
      </c>
      <c r="E9" s="34">
        <v>11890.44937</v>
      </c>
      <c r="F9" s="34">
        <v>1.6266196690318935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24024.9205</v>
      </c>
      <c r="E10" s="34">
        <v>26290.345229999999</v>
      </c>
      <c r="F10" s="34">
        <v>3.5965329253789853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205401.42347000007</v>
      </c>
      <c r="E11" s="34">
        <v>237753.56660000002</v>
      </c>
      <c r="F11" s="34">
        <v>32.524811786322275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12155.856469999997</v>
      </c>
      <c r="E12" s="34">
        <v>14811.942140000001</v>
      </c>
      <c r="F12" s="34">
        <v>2.0262814021373154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206542.66939000005</v>
      </c>
      <c r="E13" s="34">
        <v>217806.67124999984</v>
      </c>
      <c r="F13" s="34">
        <v>29.796066109620313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9997.3851299999951</v>
      </c>
      <c r="E14" s="34">
        <v>13627.296880000004</v>
      </c>
      <c r="F14" s="34">
        <v>1.864221313340066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691907.61835</v>
      </c>
      <c r="E17" s="145">
        <v>730991.36794999999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8127.4985299999998</v>
      </c>
      <c r="E20" s="152">
        <v>27335.067079999997</v>
      </c>
      <c r="F20" s="152">
        <v>3.7394514187847046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131262.83112000002</v>
      </c>
      <c r="E21" s="283">
        <v>117740.77742</v>
      </c>
      <c r="F21" s="283">
        <v>16.106999696890195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2025-07-31T09:17:57Z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