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Julho\"/>
    </mc:Choice>
  </mc:AlternateContent>
  <xr:revisionPtr revIDLastSave="0" documentId="13_ncr:1_{BC9D44AF-2883-4234-8224-5C3A715453BD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8" l="1"/>
  <c r="C2" i="60"/>
  <c r="C2" i="9"/>
  <c r="C2" i="50"/>
  <c r="C2" i="10"/>
  <c r="C2" i="11"/>
  <c r="C2" i="12"/>
  <c r="C2" i="39"/>
  <c r="C2" i="13"/>
  <c r="C2" i="51"/>
  <c r="C2" i="61"/>
  <c r="C2" i="38"/>
  <c r="A15" i="54" s="1"/>
  <c r="C2" i="32"/>
  <c r="D42" i="38"/>
  <c r="C41" i="38"/>
  <c r="D33" i="38"/>
  <c r="C32" i="38"/>
  <c r="D24" i="38"/>
  <c r="C23" i="38"/>
  <c r="D3" i="38"/>
  <c r="E2" i="53"/>
  <c r="D3" i="61" l="1"/>
  <c r="A18" i="54"/>
  <c r="A17" i="54"/>
  <c r="A16" i="54"/>
  <c r="F3" i="50"/>
  <c r="G3" i="50"/>
  <c r="G3" i="9"/>
  <c r="F3" i="9"/>
  <c r="F3" i="11" l="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<sst xmlns="http://schemas.openxmlformats.org/spreadsheetml/2006/main" count="123" uniqueCount="104">
  <si>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</si>
  <si>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</si>
  <si>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</si>
  <si>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</si>
  <si>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</si>
  <si>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</si>
  <si>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</si>
  <si>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</si>
  <si>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</si>
  <si>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</si>
  <si>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</si>
  <si>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</si>
  <si>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</si>
  <si>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</si>
  <si>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</si>
  <si>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</si>
  <si>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</si>
  <si>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</si>
  <si>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</si>
  <si>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</si>
  <si>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</si>
  <si>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</si>
  <si>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</si>
  <si>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</si>
  <si>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</si>
  <si>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</si>
  <si>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</si>
  <si>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</si>
  <si>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</si>
  <si>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</si>
  <si>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</si>
  <si>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</si>
  <si>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</si>
  <si>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</si>
  <si>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</si>
  <si>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</si>
  <si>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</si>
  <si>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</si>
  <si>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</si>
  <si>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</si>
  <si>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</si>
  <si>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</si>
  <si>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</si>
  <si>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</si>
  <si>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</si>
  <si>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</si>
  <si>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</si>
  <si>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</si>
  <si>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</si>
  <si>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</si>
  <si>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</si>
  <si>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</si>
  <si>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</si>
  <si>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</si>
  <si>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</si>
  <si>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</si>
  <si>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</si>
  <si>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</si>
  <si>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</si>
  <si>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</si>
  <si>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</si>
  <si>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</si>
  <si>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</si>
  <si>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</si>
  <si>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</si>
  <si>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</si>
  <si>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</si>
  <si>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</si>
  <si>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</si>
  <si>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</si>
  <si>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</si>
  <si>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</si>
  <si>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</si>
  <si>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</si>
  <si>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</si>
  <si>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</si>
  <si>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</si>
  <si>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</si>
  <si>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</si>
  <si>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</si>
  <si>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</si>
  <si>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</si>
  <si>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</si>
  <si>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</si>
  <si>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</si>
  <si>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</si>
  <si>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</si>
  <si>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</si>
  <si>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</si>
  <si>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</si>
  <si>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</si>
  <si>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</si>
  <si>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Direção Regional de Planeamento, Recursos e Infraestruturas</t>
  </si>
  <si>
    <t>Escola Básica e Secundária de Santa Cruz</t>
  </si>
  <si>
    <t>Direção Regional da Economia e Transportes</t>
  </si>
  <si>
    <t>Direção Regional dos Assuntos Sociais</t>
  </si>
  <si>
    <t>Direção Regional de Pescas</t>
  </si>
  <si>
    <t>Instituto das Florestas e Conservação da Natureza, IP-RAM</t>
  </si>
  <si>
    <t>CARAM -Centro de Abate da Região Autónoma da Madeira, EPERAM</t>
  </si>
  <si>
    <t>Gabinete da Secretária Regional</t>
  </si>
  <si>
    <t>Gabinete do Secretário Regional de Agricultura e Desenvolvimento Rural</t>
  </si>
  <si>
    <t>EHTM-Escola de Hotelaria e Turismo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</si>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</sst>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08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5" sqref="Q5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I16" sqref="I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(janeiro-julho)","TABLE VIII - Budget execution by organic and economic cross-classification (january-july)")</f>
        <v>TABLE VIII - Budget execution by organic and economic cross-classification (january-july)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8505</v>
      </c>
      <c r="E4" s="194">
        <v>1322.57987</v>
      </c>
      <c r="F4" s="194">
        <v>250501.5174400002</v>
      </c>
      <c r="G4" s="194">
        <v>23832.433290000001</v>
      </c>
      <c r="H4" s="194">
        <v>131752.25084999995</v>
      </c>
      <c r="I4" s="194">
        <v>242115.77182999998</v>
      </c>
      <c r="J4" s="194">
        <v>20779.084419999999</v>
      </c>
      <c r="K4" s="194">
        <v>12498.753600000004</v>
      </c>
      <c r="L4" s="194">
        <v>9942.9313299999994</v>
      </c>
      <c r="M4" s="194">
        <v>3325.2025699999999</v>
      </c>
      <c r="N4" s="194">
        <v>13470.810240000003</v>
      </c>
      <c r="O4" s="194">
        <v>55082.320280000014</v>
      </c>
      <c r="P4" s="194">
        <v>773128.65572000016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1056.0684900000001</v>
      </c>
      <c r="F5" s="196">
        <v>200007.5923500002</v>
      </c>
      <c r="G5" s="196">
        <v>4033.4001000000017</v>
      </c>
      <c r="H5" s="196">
        <v>18091.464489999995</v>
      </c>
      <c r="I5" s="196">
        <v>3107.0965400000005</v>
      </c>
      <c r="J5" s="196">
        <v>7348.0751299999993</v>
      </c>
      <c r="K5" s="196">
        <v>3325.9788500000004</v>
      </c>
      <c r="L5" s="196">
        <v>3432.0408699999994</v>
      </c>
      <c r="M5" s="196">
        <v>2783.16273</v>
      </c>
      <c r="N5" s="196">
        <v>9894.6894700000012</v>
      </c>
      <c r="O5" s="196">
        <v>9398.7076900000029</v>
      </c>
      <c r="P5" s="196">
        <v>262478.27671000024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844.0159000000001</v>
      </c>
      <c r="F6" s="198">
        <v>164706.65432000018</v>
      </c>
      <c r="G6" s="198">
        <v>3329.498480000002</v>
      </c>
      <c r="H6" s="198">
        <v>14055.984759999998</v>
      </c>
      <c r="I6" s="198">
        <v>2496.6134100000004</v>
      </c>
      <c r="J6" s="198">
        <v>6084.18073</v>
      </c>
      <c r="K6" s="198">
        <v>2676.3566300000007</v>
      </c>
      <c r="L6" s="198">
        <v>2854.5876899999994</v>
      </c>
      <c r="M6" s="198">
        <v>2252.9407899999997</v>
      </c>
      <c r="N6" s="198">
        <v>8037.188320000002</v>
      </c>
      <c r="O6" s="198">
        <v>7733.8286800000033</v>
      </c>
      <c r="P6" s="198">
        <v>215071.84971000016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5.1005700000000003</v>
      </c>
      <c r="F7" s="198">
        <v>1196.1412000000005</v>
      </c>
      <c r="G7" s="198">
        <v>13.065959999999999</v>
      </c>
      <c r="H7" s="198">
        <v>998.3317599999998</v>
      </c>
      <c r="I7" s="198">
        <v>67.820090000000008</v>
      </c>
      <c r="J7" s="198">
        <v>22.362910000000003</v>
      </c>
      <c r="K7" s="198">
        <v>97.626159999999999</v>
      </c>
      <c r="L7" s="198">
        <v>5.6048100000000005</v>
      </c>
      <c r="M7" s="198">
        <v>71.442499999999995</v>
      </c>
      <c r="N7" s="198">
        <v>139.77790999999999</v>
      </c>
      <c r="O7" s="198">
        <v>69.282429999999991</v>
      </c>
      <c r="P7" s="198">
        <v>2686.5563000000002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206.95202000000003</v>
      </c>
      <c r="F8" s="198">
        <v>34104.796830000014</v>
      </c>
      <c r="G8" s="198">
        <v>690.83565999999996</v>
      </c>
      <c r="H8" s="198">
        <v>3037.1479699999991</v>
      </c>
      <c r="I8" s="198">
        <v>542.66303999999991</v>
      </c>
      <c r="J8" s="198">
        <v>1241.5314899999998</v>
      </c>
      <c r="K8" s="198">
        <v>551.99605999999994</v>
      </c>
      <c r="L8" s="198">
        <v>571.84837000000005</v>
      </c>
      <c r="M8" s="198">
        <v>458.77944000000002</v>
      </c>
      <c r="N8" s="198">
        <v>1717.7232399999996</v>
      </c>
      <c r="O8" s="198">
        <v>1595.5965800000001</v>
      </c>
      <c r="P8" s="198">
        <v>44719.870699999999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246.01137999999997</v>
      </c>
      <c r="F9" s="196">
        <v>9548.1685600000019</v>
      </c>
      <c r="G9" s="196">
        <v>327.00500999999997</v>
      </c>
      <c r="H9" s="196">
        <v>21368.81648999999</v>
      </c>
      <c r="I9" s="196">
        <v>272.80929000000003</v>
      </c>
      <c r="J9" s="196">
        <v>4064.5010400000001</v>
      </c>
      <c r="K9" s="196">
        <v>213.24733000000003</v>
      </c>
      <c r="L9" s="196">
        <v>224.34396000000004</v>
      </c>
      <c r="M9" s="196">
        <v>388.34237000000002</v>
      </c>
      <c r="N9" s="196">
        <v>883.59343999999987</v>
      </c>
      <c r="O9" s="196">
        <v>44412.834550000007</v>
      </c>
      <c r="P9" s="196">
        <v>81949.673419999992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37.445509999999999</v>
      </c>
      <c r="F10" s="198">
        <v>5242.072549999998</v>
      </c>
      <c r="G10" s="198">
        <v>31.878129999999999</v>
      </c>
      <c r="H10" s="198">
        <v>215.53844999999998</v>
      </c>
      <c r="I10" s="198">
        <v>32.693310000000004</v>
      </c>
      <c r="J10" s="198">
        <v>1464.4493</v>
      </c>
      <c r="K10" s="198">
        <v>5.8636600000000003</v>
      </c>
      <c r="L10" s="198">
        <v>1.1084700000000001</v>
      </c>
      <c r="M10" s="198">
        <v>7.88096</v>
      </c>
      <c r="N10" s="198">
        <v>83.847139999999996</v>
      </c>
      <c r="O10" s="198">
        <v>829.7466400000003</v>
      </c>
      <c r="P10" s="198">
        <v>7952.5241199999982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208.56586999999999</v>
      </c>
      <c r="F11" s="198">
        <v>4306.0960100000038</v>
      </c>
      <c r="G11" s="198">
        <v>295.12687999999997</v>
      </c>
      <c r="H11" s="198">
        <v>21153.27803999999</v>
      </c>
      <c r="I11" s="198">
        <v>240.11598000000004</v>
      </c>
      <c r="J11" s="198">
        <v>2600.0517400000003</v>
      </c>
      <c r="K11" s="198">
        <v>207.38367000000002</v>
      </c>
      <c r="L11" s="198">
        <v>223.23549000000003</v>
      </c>
      <c r="M11" s="198">
        <v>380.46141</v>
      </c>
      <c r="N11" s="198">
        <v>799.74629999999991</v>
      </c>
      <c r="O11" s="198">
        <v>43583.087910000009</v>
      </c>
      <c r="P11" s="198">
        <v>73997.14929999999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6.9032599999999995</v>
      </c>
      <c r="G12" s="198">
        <v>1.4170000000000002E-2</v>
      </c>
      <c r="H12" s="198">
        <v>88450.534809999983</v>
      </c>
      <c r="I12" s="198">
        <v>8.9650000000000007E-2</v>
      </c>
      <c r="J12" s="198">
        <v>5.77E-3</v>
      </c>
      <c r="K12" s="198">
        <v>0</v>
      </c>
      <c r="L12" s="198">
        <v>0</v>
      </c>
      <c r="M12" s="198">
        <v>1.542E-2</v>
      </c>
      <c r="N12" s="198">
        <v>0</v>
      </c>
      <c r="O12" s="198">
        <v>0</v>
      </c>
      <c r="P12" s="198">
        <v>88457.563079999978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8505</v>
      </c>
      <c r="E13" s="196">
        <v>20.5</v>
      </c>
      <c r="F13" s="196">
        <v>40905.653190000005</v>
      </c>
      <c r="G13" s="196">
        <v>4866.4626000000007</v>
      </c>
      <c r="H13" s="196">
        <v>3403.7462299999993</v>
      </c>
      <c r="I13" s="196">
        <v>238735.72147999998</v>
      </c>
      <c r="J13" s="196">
        <v>9363.3277500000004</v>
      </c>
      <c r="K13" s="196">
        <v>8959.5274200000022</v>
      </c>
      <c r="L13" s="196">
        <v>5036.79133</v>
      </c>
      <c r="M13" s="196">
        <v>76.368290000000002</v>
      </c>
      <c r="N13" s="196">
        <v>2686.49028</v>
      </c>
      <c r="O13" s="196">
        <v>1261.83727</v>
      </c>
      <c r="P13" s="196">
        <v>323821.42583999998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8505</v>
      </c>
      <c r="E14" s="200">
        <v>0</v>
      </c>
      <c r="F14" s="200">
        <v>12135.919140000002</v>
      </c>
      <c r="G14" s="200">
        <v>4335.7689600000003</v>
      </c>
      <c r="H14" s="200">
        <v>3311.9833899999994</v>
      </c>
      <c r="I14" s="200">
        <v>238579.17276999998</v>
      </c>
      <c r="J14" s="200">
        <v>0</v>
      </c>
      <c r="K14" s="200">
        <v>2963.6177499999999</v>
      </c>
      <c r="L14" s="200">
        <v>5035.4793300000001</v>
      </c>
      <c r="M14" s="200">
        <v>0</v>
      </c>
      <c r="N14" s="200">
        <v>2490.8986100000002</v>
      </c>
      <c r="O14" s="200">
        <v>1243.11457</v>
      </c>
      <c r="P14" s="200">
        <v>278600.95451999991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8505</v>
      </c>
      <c r="E16" s="198">
        <v>0</v>
      </c>
      <c r="F16" s="198">
        <v>12030.635140000002</v>
      </c>
      <c r="G16" s="198">
        <v>4335.7689600000003</v>
      </c>
      <c r="H16" s="198">
        <v>3311.9833899999994</v>
      </c>
      <c r="I16" s="198">
        <v>238579.17276999998</v>
      </c>
      <c r="J16" s="198">
        <v>0</v>
      </c>
      <c r="K16" s="198">
        <v>2963.6177499999999</v>
      </c>
      <c r="L16" s="198">
        <v>5035.4793300000001</v>
      </c>
      <c r="M16" s="198">
        <v>0</v>
      </c>
      <c r="N16" s="198">
        <v>2490.8986100000002</v>
      </c>
      <c r="O16" s="198">
        <v>1243.11457</v>
      </c>
      <c r="P16" s="198">
        <v>278495.67051999993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20.5</v>
      </c>
      <c r="F19" s="200">
        <v>28769.734050000003</v>
      </c>
      <c r="G19" s="200">
        <v>530.69364000000007</v>
      </c>
      <c r="H19" s="200">
        <v>91.762840000000011</v>
      </c>
      <c r="I19" s="200">
        <v>156.54871</v>
      </c>
      <c r="J19" s="200">
        <v>9363.3277500000004</v>
      </c>
      <c r="K19" s="200">
        <v>5995.9096700000018</v>
      </c>
      <c r="L19" s="200">
        <v>1.3120000000000001</v>
      </c>
      <c r="M19" s="200">
        <v>76.368290000000002</v>
      </c>
      <c r="N19" s="200">
        <v>195.59166999999999</v>
      </c>
      <c r="O19" s="200">
        <v>18.7227</v>
      </c>
      <c r="P19" s="200">
        <v>45220.471320000004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8978.1731999999993</v>
      </c>
      <c r="G20" s="198">
        <v>98.15</v>
      </c>
      <c r="H20" s="198">
        <v>0</v>
      </c>
      <c r="I20" s="198">
        <v>0</v>
      </c>
      <c r="J20" s="198">
        <v>35.174999999999997</v>
      </c>
      <c r="K20" s="198">
        <v>0</v>
      </c>
      <c r="L20" s="198">
        <v>0</v>
      </c>
      <c r="M20" s="198">
        <v>0</v>
      </c>
      <c r="N20" s="198">
        <v>2.3198000000000003</v>
      </c>
      <c r="O20" s="198">
        <v>1.9724200000000001</v>
      </c>
      <c r="P20" s="198">
        <v>9115.7904199999975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16470.311460000004</v>
      </c>
      <c r="G22" s="198">
        <v>421.13812999999999</v>
      </c>
      <c r="H22" s="198">
        <v>0</v>
      </c>
      <c r="I22" s="198">
        <v>143.5</v>
      </c>
      <c r="J22" s="198">
        <v>9125.2853100000011</v>
      </c>
      <c r="K22" s="198">
        <v>4848.6677700000018</v>
      </c>
      <c r="L22" s="198">
        <v>0</v>
      </c>
      <c r="M22" s="198">
        <v>70</v>
      </c>
      <c r="N22" s="198">
        <v>121.69999999999999</v>
      </c>
      <c r="O22" s="198">
        <v>0</v>
      </c>
      <c r="P22" s="198">
        <v>31221.102670000004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3321.2493900000004</v>
      </c>
      <c r="G23" s="198">
        <v>11.40551</v>
      </c>
      <c r="H23" s="198">
        <v>72.278840000000002</v>
      </c>
      <c r="I23" s="198">
        <v>13.048710000000002</v>
      </c>
      <c r="J23" s="198">
        <v>173.58901</v>
      </c>
      <c r="K23" s="198">
        <v>1147.2419</v>
      </c>
      <c r="L23" s="198">
        <v>1.3120000000000001</v>
      </c>
      <c r="M23" s="198">
        <v>6.36829</v>
      </c>
      <c r="N23" s="198">
        <v>71.571870000000004</v>
      </c>
      <c r="O23" s="198">
        <v>16.75028</v>
      </c>
      <c r="P23" s="198">
        <v>4834.8158000000003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29.27843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48.762430000000002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14605.380729999999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46.007949999999994</v>
      </c>
      <c r="N25" s="198">
        <v>0</v>
      </c>
      <c r="O25" s="198">
        <v>0</v>
      </c>
      <c r="P25" s="198">
        <v>15885.097679999999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33.200079999999993</v>
      </c>
      <c r="G26" s="198">
        <v>0.17068</v>
      </c>
      <c r="H26" s="198">
        <v>437.68883</v>
      </c>
      <c r="I26" s="198">
        <v>5.4869999999999995E-2</v>
      </c>
      <c r="J26" s="198">
        <v>3.1747299999999998</v>
      </c>
      <c r="K26" s="198">
        <v>0</v>
      </c>
      <c r="L26" s="198">
        <v>16.046170000000004</v>
      </c>
      <c r="M26" s="198">
        <v>31.305809999999997</v>
      </c>
      <c r="N26" s="198">
        <v>6.0370499999999998</v>
      </c>
      <c r="O26" s="198">
        <v>8.9407700000000006</v>
      </c>
      <c r="P26" s="198">
        <v>536.61899000000005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10</v>
      </c>
      <c r="E27" s="32">
        <v>0</v>
      </c>
      <c r="F27" s="32">
        <v>3771.0796099999989</v>
      </c>
      <c r="G27" s="32">
        <v>2323.3515899999998</v>
      </c>
      <c r="H27" s="32">
        <v>3462.5032899999997</v>
      </c>
      <c r="I27" s="32">
        <v>313.39344</v>
      </c>
      <c r="J27" s="32">
        <v>304.79396000000003</v>
      </c>
      <c r="K27" s="32">
        <v>658.43272000000002</v>
      </c>
      <c r="L27" s="32">
        <v>678.64332000000002</v>
      </c>
      <c r="M27" s="32">
        <v>522.27399000000003</v>
      </c>
      <c r="N27" s="32">
        <v>5646.2242299999998</v>
      </c>
      <c r="O27" s="32">
        <v>40484.240699999995</v>
      </c>
      <c r="P27" s="32">
        <v>58174.936849999998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1901.348179999999</v>
      </c>
      <c r="G28" s="198">
        <v>0</v>
      </c>
      <c r="H28" s="198">
        <v>2045.12193</v>
      </c>
      <c r="I28" s="198">
        <v>12.517569999999999</v>
      </c>
      <c r="J28" s="198">
        <v>197.05834000000002</v>
      </c>
      <c r="K28" s="198">
        <v>35.084240000000001</v>
      </c>
      <c r="L28" s="198">
        <v>121.19695999999999</v>
      </c>
      <c r="M28" s="198">
        <v>522.27399000000003</v>
      </c>
      <c r="N28" s="198">
        <v>791.48445000000004</v>
      </c>
      <c r="O28" s="198">
        <v>37212.804879999996</v>
      </c>
      <c r="P28" s="198">
        <v>42838.890539999993</v>
      </c>
    </row>
    <row r="29" spans="2:16" ht="15" customHeight="1">
      <c r="C29" s="104" t="str">
        <f>+IF(Índice!$D$2=1,"Transferências capital","Capital transfers")</f>
        <v>Capital transfers</v>
      </c>
      <c r="D29" s="196">
        <v>10</v>
      </c>
      <c r="E29" s="196">
        <v>0</v>
      </c>
      <c r="F29" s="196">
        <v>1869.7314299999998</v>
      </c>
      <c r="G29" s="196">
        <v>2323.3515899999998</v>
      </c>
      <c r="H29" s="196">
        <v>1417.3813599999999</v>
      </c>
      <c r="I29" s="196">
        <v>300.87587000000002</v>
      </c>
      <c r="J29" s="196">
        <v>107.73562000000001</v>
      </c>
      <c r="K29" s="196">
        <v>623.34848</v>
      </c>
      <c r="L29" s="196">
        <v>557.44636000000003</v>
      </c>
      <c r="M29" s="196">
        <v>0</v>
      </c>
      <c r="N29" s="196">
        <v>4854.7397799999999</v>
      </c>
      <c r="O29" s="196">
        <v>3271.4358200000001</v>
      </c>
      <c r="P29" s="196">
        <v>15336.04631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10</v>
      </c>
      <c r="E30" s="200">
        <v>0</v>
      </c>
      <c r="F30" s="200">
        <v>1739.3217699999998</v>
      </c>
      <c r="G30" s="200">
        <v>2323.3515899999998</v>
      </c>
      <c r="H30" s="200">
        <v>1389.76532</v>
      </c>
      <c r="I30" s="200">
        <v>300.87587000000002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4854.7397799999999</v>
      </c>
      <c r="O30" s="200">
        <v>3271.4358200000001</v>
      </c>
      <c r="P30" s="200">
        <v>14024.436820000001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4852.8693800000001</v>
      </c>
      <c r="O31" s="198">
        <v>0</v>
      </c>
      <c r="P31" s="198">
        <v>4852.8693800000001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10</v>
      </c>
      <c r="E32" s="198">
        <v>0</v>
      </c>
      <c r="F32" s="198">
        <v>1739.3217699999998</v>
      </c>
      <c r="G32" s="198">
        <v>2323.3515899999998</v>
      </c>
      <c r="H32" s="198">
        <v>918.98595999999998</v>
      </c>
      <c r="I32" s="198">
        <v>300.87587000000002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1.8704000000000001</v>
      </c>
      <c r="O32" s="198">
        <v>3271.4358200000001</v>
      </c>
      <c r="P32" s="198">
        <v>8700.7880800000003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130.40966</v>
      </c>
      <c r="G35" s="200">
        <v>0</v>
      </c>
      <c r="H35" s="200">
        <v>27.616039999999998</v>
      </c>
      <c r="I35" s="200">
        <v>0</v>
      </c>
      <c r="J35" s="200">
        <v>107.73562000000001</v>
      </c>
      <c r="K35" s="200">
        <v>623.34848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1311.6094899999998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8515</v>
      </c>
      <c r="E38" s="204">
        <v>1322.57987</v>
      </c>
      <c r="F38" s="204">
        <v>254272.59705000019</v>
      </c>
      <c r="G38" s="204">
        <v>26155.784879999999</v>
      </c>
      <c r="H38" s="204">
        <v>135214.75413999995</v>
      </c>
      <c r="I38" s="204">
        <v>242429.16527</v>
      </c>
      <c r="J38" s="204">
        <v>21083.878379999998</v>
      </c>
      <c r="K38" s="204">
        <v>13157.186320000004</v>
      </c>
      <c r="L38" s="204">
        <v>10621.574649999999</v>
      </c>
      <c r="M38" s="204">
        <v>3847.4765600000001</v>
      </c>
      <c r="N38" s="204">
        <v>19117.034470000002</v>
      </c>
      <c r="O38" s="204">
        <v>95566.560980000009</v>
      </c>
      <c r="P38" s="204">
        <v>831303.5925700001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7502.0881900000004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603.44816999999989</v>
      </c>
      <c r="P40" s="208">
        <v>8246.9103599999999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179416.6845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179416.6845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94568.939279999991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4" t="str">
        <f>+IF(Índice!$D$2=1,"Fonte: Secretaria Regional das Finanças","Source: Regional Finance Secretariat")</f>
        <v>Source: Regional Finance Secretariat</v>
      </c>
      <c r="D47" s="334" t="str">
        <f>+IF(Índice!$D$2="PT","Fonte: Vice-Presidência do Governo Regional","Source: Vice-Presidency of the Regional Government")</f>
        <v>Source: Vice-Presidency of the Regional Government</v>
      </c>
      <c r="E47" s="33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I16" sqref="I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(janeiro-julho)","TABLE IX - RPEs global balance (january-july)")</f>
        <v>TABLE IX - RPEs global balance (january-july)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6366.5865500000655</v>
      </c>
      <c r="E5" s="82">
        <v>17888.510480000055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Source: Regional Finance Secretariat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I16" sqref="I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(janeiro-julho)","TABLE X - ASFs and RPEs budget execution (january-july)")</f>
        <v>TABLE X - ASFs and RPEs budget execution (january-july)</v>
      </c>
      <c r="D2" s="336"/>
      <c r="E2" s="33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7177.6657600000617</v>
      </c>
      <c r="E4" s="98">
        <v>17888.510480000055</v>
      </c>
      <c r="F4" s="98">
        <v>25066.176240000117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327684.94828999997</v>
      </c>
      <c r="E7" s="74">
        <v>233871.80558999992</v>
      </c>
      <c r="F7" s="74">
        <v>561556.75387999986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7192.8081100000618</v>
      </c>
      <c r="E8" s="74">
        <v>18883.343150000055</v>
      </c>
      <c r="F8" s="74">
        <v>26076.151260000119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4892.3200600000564</v>
      </c>
      <c r="E9" s="74">
        <v>12874.30196000007</v>
      </c>
      <c r="F9" s="74">
        <v>17766.622020000126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2285.3457000000017</v>
      </c>
      <c r="E10" s="74">
        <v>5014.2085200000001</v>
      </c>
      <c r="F10" s="74">
        <v>7299.5542200000018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Source: Regional Finance Secretariat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I16" sqref="I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(janeiro-julho)","TABLE XI - ASFs and RPEs budget execution (january-july)")</f>
        <v>TABLE XI - ASFs and RPEs budget execution (january-july)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329169.72461000003</v>
      </c>
      <c r="E4" s="108">
        <v>232686.67008999997</v>
      </c>
      <c r="F4" s="108">
        <v>561856.39470000006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2586.7573499999994</v>
      </c>
      <c r="E8" s="74">
        <v>5863.1926399999984</v>
      </c>
      <c r="F8" s="74">
        <v>8449.9499899999973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322645.92298000003</v>
      </c>
      <c r="E9" s="74">
        <v>206825.02909999999</v>
      </c>
      <c r="F9" s="74">
        <v>529470.95207999996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21245.830599999998</v>
      </c>
      <c r="E10" s="74">
        <v>2731.5340600000004</v>
      </c>
      <c r="F10" s="74">
        <v>23977.364659999999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300627.11156000005</v>
      </c>
      <c r="E11" s="74">
        <v>204083.20438999997</v>
      </c>
      <c r="F11" s="74">
        <v>504710.31595000002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3352.0293800000004</v>
      </c>
      <c r="E12" s="74">
        <v>10392.66431</v>
      </c>
      <c r="F12" s="74">
        <v>13744.69369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585.0148999999999</v>
      </c>
      <c r="E13" s="74">
        <v>9605.7840399999986</v>
      </c>
      <c r="F13" s="74">
        <v>10190.798939999999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5708.0317900000018</v>
      </c>
      <c r="E14" s="83">
        <v>20068.478650000005</v>
      </c>
      <c r="F14" s="83">
        <v>25776.510440000005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257.73568999999998</v>
      </c>
      <c r="F15" s="34">
        <v>257.73568999999998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5669.9888900000014</v>
      </c>
      <c r="E16" s="34">
        <v>19141.612780000003</v>
      </c>
      <c r="F16" s="74">
        <v>24811.601670000004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4065.3361900000004</v>
      </c>
      <c r="E17" s="34">
        <v>10810.934780000001</v>
      </c>
      <c r="F17" s="74">
        <v>14876.270970000001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1604.652700000001</v>
      </c>
      <c r="E18" s="74">
        <v>8330.6780000000017</v>
      </c>
      <c r="F18" s="74">
        <v>9935.3307000000023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334877.75640000001</v>
      </c>
      <c r="E20" s="83">
        <v>252755.14873999998</v>
      </c>
      <c r="F20" s="83">
        <v>587632.90513999993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324277.40454999998</v>
      </c>
      <c r="E22" s="83">
        <v>219812.3681299999</v>
      </c>
      <c r="F22" s="83">
        <v>544089.77267999994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32746.92699</v>
      </c>
      <c r="E23" s="74">
        <v>145494.39331999994</v>
      </c>
      <c r="F23" s="74">
        <v>178241.32030999995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66336.358580000044</v>
      </c>
      <c r="E24" s="74">
        <v>64932.077419999958</v>
      </c>
      <c r="F24" s="74">
        <v>131268.43599999999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15.142349999999999</v>
      </c>
      <c r="E25" s="74">
        <v>994.83267000000001</v>
      </c>
      <c r="F25" s="74">
        <v>1009.97502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221467.58431999997</v>
      </c>
      <c r="E26" s="74">
        <v>7616.0673499999994</v>
      </c>
      <c r="F26" s="74">
        <v>229083.65166999996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1486.4346300000002</v>
      </c>
      <c r="E27" s="74">
        <v>0</v>
      </c>
      <c r="F27" s="59">
        <v>1486.4346300000002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219981.14968999996</v>
      </c>
      <c r="E28" s="74">
        <v>7616.0673499999994</v>
      </c>
      <c r="F28" s="59">
        <v>227597.21703999996</v>
      </c>
    </row>
    <row r="29" spans="2:6" ht="11.25" customHeight="1">
      <c r="C29" s="104" t="str">
        <f>+IF(Índice!$D$2=1,"Subsídios","Subsidies")</f>
        <v>Subsidies</v>
      </c>
      <c r="D29" s="74">
        <v>3581.4926499999997</v>
      </c>
      <c r="E29" s="74">
        <v>0</v>
      </c>
      <c r="F29" s="74">
        <v>3581.4926499999997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129.89966000000001</v>
      </c>
      <c r="E30" s="74">
        <v>774.99737000000027</v>
      </c>
      <c r="F30" s="74">
        <v>904.89703000000031</v>
      </c>
    </row>
    <row r="31" spans="2:6" ht="11.25" customHeight="1">
      <c r="C31" s="110" t="str">
        <f>+IF(Índice!$D$2=1,"Despesa de capital","Capital expenditure")</f>
        <v>Capital expenditure</v>
      </c>
      <c r="D31" s="83">
        <v>3422.6860900000001</v>
      </c>
      <c r="E31" s="83">
        <v>15054.270130000004</v>
      </c>
      <c r="F31" s="83">
        <v>18476.956220000004</v>
      </c>
    </row>
    <row r="32" spans="2:6" ht="11.25" customHeight="1">
      <c r="C32" s="104" t="str">
        <f>+IF(Índice!$D$2=1,"Investimento","Investment")</f>
        <v>Investment</v>
      </c>
      <c r="D32" s="74">
        <v>1153.7700500000001</v>
      </c>
      <c r="E32" s="74">
        <v>14964.070130000004</v>
      </c>
      <c r="F32" s="74">
        <v>16117.840180000003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2268.9160400000001</v>
      </c>
      <c r="E33" s="74">
        <v>90.2</v>
      </c>
      <c r="F33" s="74">
        <v>2359.1160399999999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327700.09063999995</v>
      </c>
      <c r="E36" s="83">
        <v>234866.63825999992</v>
      </c>
      <c r="F36" s="83">
        <v>562566.72889999987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3368.75387</v>
      </c>
      <c r="E38" s="35">
        <v>442.55914000000001</v>
      </c>
      <c r="F38" s="35">
        <v>3811.3130099999998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7344.9467100000002</v>
      </c>
      <c r="F39" s="35">
        <v>7344.9467100000002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7177.6657600000617</v>
      </c>
      <c r="E44" s="114">
        <v>17888.510480000055</v>
      </c>
      <c r="F44" s="114">
        <v>25066.176240000117</v>
      </c>
    </row>
    <row r="45" spans="3:6" ht="15" customHeight="1">
      <c r="C45" s="334" t="str">
        <f>+IF(Índice!$D$2=1,"Fonte: Secretaria Regional das Finanças","Source: Regional Finance Secretariat")</f>
        <v>Source: Regional Finance Secretariat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I16" sqref="I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(julho)","TABLE XII - ASFs and RPEs budget execution (july)")</f>
        <v>TABLE XII - ASFs and RPEs budget execution (july)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2024","may 2024")</f>
        <v>may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43113.109550000001</v>
      </c>
      <c r="E5" s="317">
        <v>29403.017849999997</v>
      </c>
      <c r="F5" s="317">
        <v>72516.127399999998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43113.109550000001</v>
      </c>
      <c r="E9" s="74">
        <v>29403.017849999997</v>
      </c>
      <c r="F9" s="74">
        <v>72516.127399999998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42174.843379999998</v>
      </c>
      <c r="E10" s="74">
        <v>26262.390469999998</v>
      </c>
      <c r="F10" s="74">
        <v>68437.23384999999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1115.4555800000007</v>
      </c>
      <c r="E11" s="83">
        <v>4653.5098899999984</v>
      </c>
      <c r="F11" s="83">
        <v>5768.9654699999992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22.656659999999974</v>
      </c>
      <c r="F12" s="34">
        <v>22.656659999999974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1111.1394700000008</v>
      </c>
      <c r="E13" s="34">
        <v>4591.4347099999986</v>
      </c>
      <c r="F13" s="74">
        <v>5702.5741799999996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44228.565130000003</v>
      </c>
      <c r="E15" s="83">
        <v>34056.527739999998</v>
      </c>
      <c r="F15" s="83">
        <v>78285.092869999993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44592.111600000004</v>
      </c>
      <c r="E17" s="83">
        <v>37002.398469999855</v>
      </c>
      <c r="F17" s="83">
        <v>81594.510069999858</v>
      </c>
    </row>
    <row r="18" spans="3:6" ht="11.25" customHeight="1">
      <c r="C18" s="104" t="str">
        <f>+IF(Índice!$D$2=1,"Consumo público","Public consumption")</f>
        <v>Public consumption</v>
      </c>
      <c r="D18" s="74">
        <v>14577.052990000009</v>
      </c>
      <c r="E18" s="74">
        <v>35931.580379999854</v>
      </c>
      <c r="F18" s="74">
        <v>50508.633369999865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4864.8875199999884</v>
      </c>
      <c r="E19" s="74">
        <v>17955.89837999989</v>
      </c>
      <c r="F19" s="74">
        <v>22820.785899999879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9712.1654700000199</v>
      </c>
      <c r="E20" s="74">
        <v>17975.681999999957</v>
      </c>
      <c r="F20" s="74">
        <v>27687.847469999979</v>
      </c>
    </row>
    <row r="21" spans="3:6" ht="11.25" customHeight="1">
      <c r="C21" s="104" t="str">
        <f>+IF(Índice!$D$2=1,"Subsídios","Subsidies")</f>
        <v>Subsidies</v>
      </c>
      <c r="D21" s="74">
        <v>802.62460999999985</v>
      </c>
      <c r="E21" s="74">
        <v>0</v>
      </c>
      <c r="F21" s="74">
        <v>802.62460999999985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1.9160599999999994</v>
      </c>
      <c r="E22" s="74">
        <v>17.659619999999997</v>
      </c>
      <c r="F22" s="59">
        <v>19.575679999999995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29210.517939999998</v>
      </c>
      <c r="E23" s="74">
        <v>1053.1584700000008</v>
      </c>
      <c r="F23" s="59">
        <v>30263.67641</v>
      </c>
    </row>
    <row r="24" spans="3:6" ht="11.25" customHeight="1">
      <c r="C24" s="110" t="str">
        <f>+IF(Índice!$D$2=1,"Despesa de capital","Capital expenditure")</f>
        <v>Capital expenditure</v>
      </c>
      <c r="D24" s="83">
        <v>361.37049000000025</v>
      </c>
      <c r="E24" s="83">
        <v>4240.1054700000004</v>
      </c>
      <c r="F24" s="83">
        <v>4601.4759600000007</v>
      </c>
    </row>
    <row r="25" spans="3:6" ht="11.25" customHeight="1">
      <c r="C25" s="104" t="str">
        <f>+IF(Índice!$D$2=1,"Investimento","Investment")</f>
        <v>Investment</v>
      </c>
      <c r="D25" s="74">
        <v>53.354570000000301</v>
      </c>
      <c r="E25" s="74">
        <v>4222.1054700000004</v>
      </c>
      <c r="F25" s="74">
        <v>4275.4600400000008</v>
      </c>
    </row>
    <row r="26" spans="3:6" ht="11.25" customHeight="1">
      <c r="C26" s="104" t="str">
        <f>+IF(Índice!$D$2=1,"Transferências capital","Capital transfers")</f>
        <v>Capital transfers</v>
      </c>
      <c r="D26" s="74">
        <v>308.01591999999994</v>
      </c>
      <c r="E26" s="74">
        <v>18</v>
      </c>
      <c r="F26" s="74">
        <v>326.01591999999994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44953.482090000005</v>
      </c>
      <c r="E29" s="83">
        <v>41242.503939999857</v>
      </c>
      <c r="F29" s="83">
        <v>86195.986029999855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-724.91696000000229</v>
      </c>
      <c r="E31" s="319">
        <v>-7185.9761999998591</v>
      </c>
      <c r="F31" s="319">
        <v>-7910.8931599998614</v>
      </c>
    </row>
    <row r="32" spans="3:6" ht="15" customHeight="1">
      <c r="C32" s="334" t="str">
        <f>+IF(Índice!$D$2=1,"Fonte: Secretaria Regional das Finanças","Source: Regional Finance Secretariat")</f>
        <v>Source: Regional Finance Secretariat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I16" sqref="I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julho de 2024 (valores acumulados)","Table XIII- Accounts payable of the Regional Administration, july (accumulated)")</f>
        <v>Table XIII- Accounts payable of the Regional Administration, july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0" t="s">
        <v>7</v>
      </c>
      <c r="D3" s="337" t="str">
        <f>+IF(Índice!$D$2=1,"julho 2024","july 2024")</f>
        <v>july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44" t="str">
        <f>+IF(Índice!$D$2=1,"Variação face ao stock inicial de janeiro","Change from period initial stock")</f>
        <v>Change from period initial stock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Accumulated</v>
      </c>
      <c r="E4" s="352"/>
      <c r="F4" s="352"/>
      <c r="G4" s="349" t="str">
        <f>+IF(Índice!$D$2=1,"Passivo","Liabilities")</f>
        <v>Liabilities</v>
      </c>
      <c r="H4" s="349" t="str">
        <f>+IF(Índice!$D$2=1,"Contas a pagar","Accounts payable")</f>
        <v>Accounts payable</v>
      </c>
      <c r="I4" s="338" t="str">
        <f>+IF(Índice!$D$2=1,"Pagamentos em atraso","Late payments")</f>
        <v>Late payments</v>
      </c>
    </row>
    <row r="5" spans="2:11" ht="22.5">
      <c r="B5" s="29"/>
      <c r="C5" s="340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0"/>
      <c r="H5" s="350"/>
      <c r="I5" s="339"/>
    </row>
    <row r="6" spans="2:11">
      <c r="B6" s="29"/>
      <c r="C6" s="119" t="str">
        <f>+IF(Índice!$D$2=1,"Despesa corrente","Current expenditure")</f>
        <v>Current expenditure</v>
      </c>
      <c r="D6" s="162">
        <v>162716688.73000002</v>
      </c>
      <c r="E6" s="162">
        <v>146300894.16</v>
      </c>
      <c r="F6" s="162">
        <v>43965734.549999982</v>
      </c>
      <c r="G6" s="91">
        <v>-3.2382692009294778E-2</v>
      </c>
      <c r="H6" s="91">
        <v>-7.7437944430043038E-2</v>
      </c>
      <c r="I6" s="116">
        <v>0.17747602864771284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5473405.6599999992</v>
      </c>
      <c r="E7" s="165">
        <v>4719467.67</v>
      </c>
      <c r="F7" s="165">
        <v>687.24</v>
      </c>
      <c r="G7" s="95">
        <v>3.2816190185480805</v>
      </c>
      <c r="H7" s="95">
        <v>5.5323309272866101</v>
      </c>
      <c r="I7" s="121">
        <v>0.27045513365622798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114824982.28</v>
      </c>
      <c r="E8" s="165">
        <v>114648683.08</v>
      </c>
      <c r="F8" s="165">
        <v>32654729.609999981</v>
      </c>
      <c r="G8" s="95">
        <v>0.13346127158448562</v>
      </c>
      <c r="H8" s="95">
        <v>0.13886438301289772</v>
      </c>
      <c r="I8" s="121">
        <v>-8.6762497352565138E-2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9029690.5800000001</v>
      </c>
      <c r="E9" s="165">
        <v>3842077.1599999992</v>
      </c>
      <c r="F9" s="165">
        <v>1039768.9900000001</v>
      </c>
      <c r="G9" s="95">
        <v>-0.14208787429288028</v>
      </c>
      <c r="H9" s="95">
        <v>-0.280186936307247</v>
      </c>
      <c r="I9" s="121">
        <v>2.2299705410942909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28692566.189999998</v>
      </c>
      <c r="E10" s="165">
        <v>18402881.75</v>
      </c>
      <c r="F10" s="165">
        <v>10270497.710000001</v>
      </c>
      <c r="G10" s="95">
        <v>-0.46057795677631652</v>
      </c>
      <c r="H10" s="95">
        <v>-0.63191037705473307</v>
      </c>
      <c r="I10" s="121">
        <v>7.1567272707547946</v>
      </c>
    </row>
    <row r="11" spans="2:11">
      <c r="B11" s="29"/>
      <c r="C11" s="120" t="str">
        <f>+IF(Índice!$D$2=1,"Subsídios","Subsidies")</f>
        <v>Subsidies</v>
      </c>
      <c r="D11" s="165">
        <v>4628484.3499999996</v>
      </c>
      <c r="E11" s="165">
        <v>4628484.3499999996</v>
      </c>
      <c r="F11" s="165">
        <v>0</v>
      </c>
      <c r="G11" s="95">
        <v>1.5022904671731268</v>
      </c>
      <c r="H11" s="95">
        <v>1.5022904671731268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67559.67</v>
      </c>
      <c r="E12" s="165">
        <v>59300.15</v>
      </c>
      <c r="F12" s="165">
        <v>51</v>
      </c>
      <c r="G12" s="95">
        <v>4.2144422850421339</v>
      </c>
      <c r="H12" s="95">
        <v>8.3404891064655544</v>
      </c>
      <c r="I12" s="121">
        <v>-0.80384615384615388</v>
      </c>
    </row>
    <row r="13" spans="2:11">
      <c r="B13" s="29"/>
      <c r="C13" s="115" t="str">
        <f>+IF(Índice!$D$2=1,"Despesa de capital","Capital expenditure")</f>
        <v>Capital expenditure</v>
      </c>
      <c r="D13" s="163">
        <v>52697134.340000004</v>
      </c>
      <c r="E13" s="163">
        <v>37690142.640000001</v>
      </c>
      <c r="F13" s="163">
        <v>66887.410000000018</v>
      </c>
      <c r="G13" s="92">
        <v>0.12991509249949784</v>
      </c>
      <c r="H13" s="92">
        <v>0.19746135176421942</v>
      </c>
      <c r="I13" s="117">
        <v>-0.76806638308803143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30621234.850000001</v>
      </c>
      <c r="E14" s="165">
        <v>21653339.580000002</v>
      </c>
      <c r="F14" s="165">
        <v>52491.410000000018</v>
      </c>
      <c r="G14" s="95">
        <v>0.23689096041144175</v>
      </c>
      <c r="H14" s="95">
        <v>0.37203070255834358</v>
      </c>
      <c r="I14" s="121">
        <v>-0.81798484082267386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22075899.490000002</v>
      </c>
      <c r="E15" s="165">
        <v>16036803.059999999</v>
      </c>
      <c r="F15" s="165">
        <v>14396</v>
      </c>
      <c r="G15" s="95">
        <v>8.8832593714476271E-3</v>
      </c>
      <c r="H15" s="95">
        <v>2.1903194164386131E-2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215413823.06999999</v>
      </c>
      <c r="E17" s="164">
        <v>183991036.80000001</v>
      </c>
      <c r="F17" s="164">
        <v>44032621.959999979</v>
      </c>
      <c r="G17" s="147">
        <v>2.8559167140149722E-3</v>
      </c>
      <c r="H17" s="147">
        <v>-3.1912097921035221E-2</v>
      </c>
      <c r="I17" s="148">
        <v>0.17022903276756818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150274335.13999999</v>
      </c>
      <c r="E19" s="164">
        <v>118867636.52000001</v>
      </c>
      <c r="F19" s="164">
        <v>12358717.779999996</v>
      </c>
      <c r="G19" s="147">
        <v>8.0379149555895868E-2</v>
      </c>
      <c r="H19" s="147">
        <v>3.9395192167596127E-2</v>
      </c>
      <c r="I19" s="148">
        <v>1.9208657869833008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julho de 2024 (valores acumulados)","Table XIV - Accounts payable of the Regional Gov., july (accumulated)")</f>
        <v>Table XIV - Accounts payable of the Regional Gov., july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0" t="str">
        <f>+IF(Índice!$D$2=1,"Governo Regional","Regional Government")</f>
        <v>Regional Government</v>
      </c>
      <c r="D24" s="337" t="str">
        <f>+IF(Índice!$D$2=1,"julho 2024","july 2024")</f>
        <v>july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janeiro","Change from january initial stock")</f>
        <v>Change from january initial stock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Accumulated</v>
      </c>
      <c r="E25" s="352"/>
      <c r="F25" s="352"/>
      <c r="G25" s="349" t="str">
        <f>+IF(Índice!$D$2=1,"Passivo","Liabilities")</f>
        <v>Liabilities</v>
      </c>
      <c r="H25" s="349" t="str">
        <f>+IF(Índice!$D$2=1,"Contas a pagar","Accounts payable")</f>
        <v>Accounts payable</v>
      </c>
      <c r="I25" s="338" t="str">
        <f>+IF(Índice!$D$2=1,"Pagamentos em atraso","Late payments")</f>
        <v>Late payments</v>
      </c>
    </row>
    <row r="26" spans="2:9" ht="22.5">
      <c r="B26" s="29"/>
      <c r="C26" s="340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57543308.160000004</v>
      </c>
      <c r="E27" s="162">
        <v>48151549.040000007</v>
      </c>
      <c r="F27" s="162">
        <v>1056412.49</v>
      </c>
      <c r="G27" s="91">
        <v>3.7931526848299528</v>
      </c>
      <c r="H27" s="91">
        <v>4.1948931965235756</v>
      </c>
      <c r="I27" s="116">
        <v>1.6038936104070256E-3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40443465.530000001</v>
      </c>
      <c r="E28" s="163">
        <v>34153608.829999998</v>
      </c>
      <c r="F28" s="163">
        <v>15026</v>
      </c>
      <c r="G28" s="92">
        <v>0.21702792030296214</v>
      </c>
      <c r="H28" s="172">
        <v>0.27508422071790251</v>
      </c>
      <c r="I28" s="117">
        <v>22.850793650793651</v>
      </c>
    </row>
    <row r="29" spans="2:9" ht="20.100000000000001" customHeight="1">
      <c r="B29" s="29"/>
      <c r="C29" s="146" t="s">
        <v>7</v>
      </c>
      <c r="D29" s="164">
        <v>97986773.689999998</v>
      </c>
      <c r="E29" s="164">
        <v>82305157.870000005</v>
      </c>
      <c r="F29" s="164">
        <v>1071438.49</v>
      </c>
      <c r="G29" s="147">
        <v>1.1660924977451925</v>
      </c>
      <c r="H29" s="147">
        <v>1.282805381500296</v>
      </c>
      <c r="I29" s="148">
        <v>1.5243897614597213E-2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julho de 2024 (valores acumulados)","Table XV - Accounts payable of the ASFs, july (accumulated)")</f>
        <v>Table XV - Accounts payable of the ASFs, july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1" t="str">
        <f>+IF(Índice!$D$2=1,"Serviços e Fundos Autónomos","Autonomous Services and Funds")</f>
        <v>Autonomous Services and Funds</v>
      </c>
      <c r="D33" s="337" t="str">
        <f>+IF(Índice!$D$2=1,"julho 2024","july 2024")</f>
        <v>july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janeiro","Change from january initial stock")</f>
        <v>Change from january initial stock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Accumulated</v>
      </c>
      <c r="E34" s="347"/>
      <c r="F34" s="348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38" t="str">
        <f>+IF(Índice!$D$2=1,"Pagamentos em atraso","Late payments")</f>
        <v>Late payments</v>
      </c>
    </row>
    <row r="35" spans="2:9" ht="22.5">
      <c r="C35" s="343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Current expenditure</v>
      </c>
      <c r="D36" s="162">
        <v>36559866.039999999</v>
      </c>
      <c r="E36" s="162">
        <v>33813616.210000001</v>
      </c>
      <c r="F36" s="162">
        <v>11287279.289999999</v>
      </c>
      <c r="G36" s="91">
        <v>-0.5162828166361102</v>
      </c>
      <c r="H36" s="91">
        <v>-0.53691063316595478</v>
      </c>
      <c r="I36" s="116">
        <v>2.6490596111107148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357129.9</v>
      </c>
      <c r="E37" s="163">
        <v>357129.9</v>
      </c>
      <c r="F37" s="163">
        <v>0</v>
      </c>
      <c r="G37" s="92">
        <v>-4.6999613014435004E-2</v>
      </c>
      <c r="H37" s="92">
        <v>-4.6999613014435004E-2</v>
      </c>
      <c r="I37" s="117">
        <v>-1</v>
      </c>
    </row>
    <row r="38" spans="2:9" ht="20.100000000000001" customHeight="1">
      <c r="C38" s="146" t="s">
        <v>7</v>
      </c>
      <c r="D38" s="164">
        <v>36916995.939999998</v>
      </c>
      <c r="E38" s="164">
        <v>34170746.109999999</v>
      </c>
      <c r="F38" s="164">
        <v>11287279.289999999</v>
      </c>
      <c r="G38" s="147">
        <v>-0.51396751762291548</v>
      </c>
      <c r="H38" s="147">
        <v>-0.53440913416499014</v>
      </c>
      <c r="I38" s="148">
        <v>2.5541170136315228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julho de 2024 (valores acumulados)","Table XVI - Accounts payable of the RPEs, july (accumulated)")</f>
        <v>Table XVI - Accounts payable of the RPEs, july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1" t="str">
        <f>+IF(Índice!$D$2=1,"Entidades Públicas Reclassseicadas","Reclassseied Public Entities")</f>
        <v>Reclassseied Public Entities</v>
      </c>
      <c r="D42" s="337" t="str">
        <f>+IF(Índice!$D$2=1,"julho 2024","july 2024")</f>
        <v>july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janeiro","Change from january initial stock")</f>
        <v>Change from january initial stock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Accumulated</v>
      </c>
      <c r="E43" s="347"/>
      <c r="F43" s="348"/>
      <c r="G43" s="349" t="str">
        <f>+IF(Índice!$D$2=1,"Passivo","Liabilities")</f>
        <v>Liabilities</v>
      </c>
      <c r="H43" s="349" t="str">
        <f>+IF(Índice!$D$2=1,"Contas a pagar","Accounts payable")</f>
        <v>Accounts payable</v>
      </c>
      <c r="I43" s="338" t="str">
        <f>+IF(Índice!$D$2=1,"Pagamentos em atraso","Late payments")</f>
        <v>Late payments</v>
      </c>
    </row>
    <row r="44" spans="2:9" ht="22.5">
      <c r="C44" s="343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Current expenditure</v>
      </c>
      <c r="D45" s="162">
        <v>68613514.530000001</v>
      </c>
      <c r="E45" s="162">
        <v>64335728.910000004</v>
      </c>
      <c r="F45" s="162">
        <v>31622042.769999981</v>
      </c>
      <c r="G45" s="91">
        <v>-0.14846046876115748</v>
      </c>
      <c r="H45" s="91">
        <v>-0.15674593207389598</v>
      </c>
      <c r="I45" s="116">
        <v>-4.7271725590581237E-2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11896538.91</v>
      </c>
      <c r="E46" s="163">
        <v>3179403.91</v>
      </c>
      <c r="F46" s="163">
        <v>51861.410000000018</v>
      </c>
      <c r="G46" s="92">
        <v>-8.7132640161941555E-2</v>
      </c>
      <c r="H46" s="92">
        <v>-0.26316064126489214</v>
      </c>
      <c r="I46" s="117">
        <v>-0.74717824516735276</v>
      </c>
    </row>
    <row r="47" spans="2:9" ht="20.100000000000001" customHeight="1">
      <c r="C47" s="146" t="s">
        <v>7</v>
      </c>
      <c r="D47" s="164">
        <v>80510053.439999998</v>
      </c>
      <c r="E47" s="164">
        <v>67515132.820000008</v>
      </c>
      <c r="F47" s="164">
        <v>31673904.179999981</v>
      </c>
      <c r="G47" s="147">
        <v>-0.13992243151973627</v>
      </c>
      <c r="H47" s="147">
        <v>-0.16244217138379569</v>
      </c>
      <c r="I47" s="148">
        <v>-5.1570782986466557E-2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zoomScale="85" zoomScaleNormal="85" workbookViewId="0">
      <selection activeCell="F19" sqref="F1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74</v>
      </c>
      <c r="D10" s="170"/>
      <c r="E10" s="169"/>
    </row>
    <row r="11" spans="2:5">
      <c r="B11" s="195"/>
      <c r="C11" s="170" t="s">
        <v>92</v>
      </c>
      <c r="D11" s="170"/>
      <c r="E11" s="169"/>
    </row>
    <row r="12" spans="2:5">
      <c r="B12" s="195"/>
      <c r="C12" s="170" t="s">
        <v>75</v>
      </c>
      <c r="D12" s="170"/>
      <c r="E12" s="169"/>
    </row>
    <row r="13" spans="2:5">
      <c r="B13" s="195"/>
      <c r="C13" s="170" t="s">
        <v>76</v>
      </c>
      <c r="D13" s="170"/>
      <c r="E13" s="169"/>
    </row>
    <row r="14" spans="2:5">
      <c r="B14" s="195"/>
      <c r="C14" s="170" t="s">
        <v>77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61</v>
      </c>
      <c r="D16" s="170"/>
      <c r="E16" s="169"/>
    </row>
    <row r="17" spans="2:5">
      <c r="B17" s="195"/>
      <c r="C17" s="170" t="s">
        <v>78</v>
      </c>
      <c r="D17" s="171"/>
      <c r="E17" s="169"/>
    </row>
    <row r="18" spans="2:5">
      <c r="B18" s="195"/>
      <c r="C18" s="170" t="s">
        <v>93</v>
      </c>
      <c r="D18" s="170"/>
      <c r="E18" s="169"/>
    </row>
    <row r="19" spans="2:5">
      <c r="B19" s="195"/>
      <c r="C19" s="170" t="s">
        <v>20</v>
      </c>
      <c r="D19" s="170"/>
      <c r="E19" s="169"/>
    </row>
    <row r="20" spans="2:5">
      <c r="B20" s="195"/>
      <c r="C20" s="170" t="s">
        <v>62</v>
      </c>
      <c r="D20" s="170"/>
      <c r="E20" s="169"/>
    </row>
    <row r="21" spans="2:5">
      <c r="B21" s="195"/>
      <c r="C21" s="170" t="s">
        <v>79</v>
      </c>
      <c r="D21" s="170"/>
      <c r="E21" s="169"/>
    </row>
    <row r="22" spans="2:5">
      <c r="B22" s="195"/>
      <c r="C22" s="170" t="s">
        <v>80</v>
      </c>
      <c r="D22" s="170"/>
      <c r="E22" s="169"/>
    </row>
    <row r="23" spans="2:5">
      <c r="B23" s="195"/>
      <c r="C23" s="170" t="s">
        <v>63</v>
      </c>
      <c r="D23" s="170"/>
      <c r="E23" s="169"/>
    </row>
    <row r="24" spans="2:5">
      <c r="B24" s="195"/>
      <c r="C24" s="170" t="s">
        <v>81</v>
      </c>
      <c r="D24" s="170"/>
      <c r="E24" s="169"/>
    </row>
    <row r="25" spans="2:5">
      <c r="B25" s="195"/>
      <c r="C25" s="170" t="s">
        <v>82</v>
      </c>
      <c r="D25" s="170"/>
      <c r="E25" s="169"/>
    </row>
    <row r="26" spans="2:5">
      <c r="B26" s="195"/>
      <c r="C26" s="170" t="s">
        <v>64</v>
      </c>
      <c r="D26" s="170"/>
      <c r="E26" s="169"/>
    </row>
    <row r="27" spans="2:5">
      <c r="B27" s="195"/>
      <c r="C27" s="170" t="s">
        <v>65</v>
      </c>
      <c r="D27" s="170"/>
      <c r="E27" s="169"/>
    </row>
    <row r="28" spans="2:5">
      <c r="B28" s="195"/>
      <c r="C28" s="170" t="s">
        <v>83</v>
      </c>
      <c r="D28" s="170"/>
      <c r="E28" s="169"/>
    </row>
    <row r="29" spans="2:5">
      <c r="B29" s="55"/>
      <c r="C29" s="170" t="s">
        <v>66</v>
      </c>
      <c r="D29" s="170"/>
      <c r="E29" s="169"/>
    </row>
    <row r="30" spans="2:5">
      <c r="B30" s="55"/>
      <c r="C30" s="170" t="s">
        <v>84</v>
      </c>
      <c r="D30" s="170"/>
      <c r="E30" s="169"/>
    </row>
    <row r="31" spans="2:5">
      <c r="B31" s="55"/>
      <c r="C31" s="170" t="s">
        <v>67</v>
      </c>
      <c r="D31" s="170"/>
      <c r="E31" s="169"/>
    </row>
    <row r="32" spans="2:5">
      <c r="B32" s="55"/>
      <c r="C32" s="170" t="s">
        <v>85</v>
      </c>
      <c r="D32" s="170"/>
      <c r="E32" s="169"/>
    </row>
    <row r="33" spans="2:5">
      <c r="B33" s="55"/>
      <c r="C33" s="170" t="s">
        <v>68</v>
      </c>
      <c r="D33" s="170"/>
      <c r="E33" s="169"/>
    </row>
    <row r="34" spans="2:5">
      <c r="B34" s="55"/>
      <c r="C34" s="170" t="s">
        <v>21</v>
      </c>
      <c r="D34" s="170"/>
      <c r="E34" s="169"/>
    </row>
    <row r="35" spans="2:5">
      <c r="B35" s="55"/>
      <c r="C35" s="171" t="s">
        <v>22</v>
      </c>
      <c r="D35" s="170"/>
      <c r="E35" s="169"/>
    </row>
    <row r="36" spans="2:5">
      <c r="B36" s="55"/>
      <c r="C36" s="170" t="s">
        <v>94</v>
      </c>
      <c r="D36" s="170"/>
      <c r="E36" s="169"/>
    </row>
    <row r="37" spans="2:5">
      <c r="B37" s="55"/>
      <c r="C37" s="170" t="s">
        <v>23</v>
      </c>
      <c r="D37" s="170"/>
      <c r="E37" s="169"/>
    </row>
    <row r="38" spans="2:5">
      <c r="B38" s="55"/>
      <c r="C38" s="171" t="s">
        <v>24</v>
      </c>
      <c r="D38" s="170"/>
      <c r="E38" s="169"/>
    </row>
    <row r="39" spans="2:5">
      <c r="B39" s="55"/>
      <c r="C39" s="170" t="s">
        <v>69</v>
      </c>
      <c r="D39" s="170"/>
      <c r="E39" s="169"/>
    </row>
    <row r="40" spans="2:5">
      <c r="B40" s="55"/>
      <c r="C40" s="170" t="s">
        <v>70</v>
      </c>
      <c r="D40" s="170"/>
      <c r="E40" s="169"/>
    </row>
    <row r="41" spans="2:5">
      <c r="B41" s="55"/>
      <c r="C41" s="170" t="s">
        <v>57</v>
      </c>
      <c r="D41" s="170"/>
      <c r="E41" s="169"/>
    </row>
    <row r="42" spans="2:5">
      <c r="B42" s="55"/>
      <c r="C42" s="170" t="s">
        <v>25</v>
      </c>
      <c r="D42" s="170"/>
      <c r="E42" s="169"/>
    </row>
    <row r="43" spans="2:5">
      <c r="B43" s="55"/>
      <c r="C43" s="170" t="s">
        <v>71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27</v>
      </c>
      <c r="D45" s="171"/>
      <c r="E45" s="169"/>
    </row>
    <row r="46" spans="2:5">
      <c r="B46" s="55"/>
      <c r="C46" s="170" t="s">
        <v>58</v>
      </c>
      <c r="D46" s="170"/>
      <c r="E46" s="169"/>
    </row>
    <row r="47" spans="2:5">
      <c r="B47" s="55"/>
      <c r="C47" s="171" t="s">
        <v>28</v>
      </c>
      <c r="D47" s="170"/>
      <c r="E47" s="169"/>
    </row>
    <row r="48" spans="2:5">
      <c r="B48" s="55"/>
      <c r="C48" s="170" t="s">
        <v>72</v>
      </c>
      <c r="D48" s="170"/>
      <c r="E48" s="169"/>
    </row>
    <row r="49" spans="2:5">
      <c r="B49" s="55"/>
      <c r="C49" s="170" t="s">
        <v>29</v>
      </c>
      <c r="D49" s="170"/>
      <c r="E49" s="169"/>
    </row>
    <row r="50" spans="2:5">
      <c r="B50" s="55"/>
      <c r="C50" s="171" t="s">
        <v>30</v>
      </c>
      <c r="D50" s="171"/>
      <c r="E50" s="169"/>
    </row>
    <row r="51" spans="2:5">
      <c r="B51" s="55"/>
      <c r="C51" s="170" t="s">
        <v>31</v>
      </c>
      <c r="D51" s="170"/>
      <c r="E51" s="169"/>
    </row>
    <row r="52" spans="2:5">
      <c r="B52" s="55"/>
      <c r="C52" s="170" t="s">
        <v>86</v>
      </c>
      <c r="D52" s="170"/>
      <c r="E52" s="169"/>
    </row>
    <row r="53" spans="2:5">
      <c r="B53" s="55"/>
      <c r="C53" s="170" t="s">
        <v>32</v>
      </c>
      <c r="D53" s="170"/>
      <c r="E53" s="169"/>
    </row>
    <row r="54" spans="2:5">
      <c r="B54" s="55"/>
      <c r="C54" s="170" t="s">
        <v>33</v>
      </c>
      <c r="D54" s="171"/>
      <c r="E54" s="169"/>
    </row>
    <row r="55" spans="2:5">
      <c r="B55" s="55"/>
      <c r="C55" s="171" t="s">
        <v>34</v>
      </c>
    </row>
    <row r="56" spans="2:5">
      <c r="B56" s="55"/>
      <c r="C56" s="170" t="s">
        <v>99</v>
      </c>
    </row>
    <row r="57" spans="2:5">
      <c r="B57" s="55"/>
      <c r="C57" s="170" t="s">
        <v>95</v>
      </c>
    </row>
    <row r="58" spans="2:5">
      <c r="B58" s="55"/>
      <c r="C58" s="170" t="s">
        <v>35</v>
      </c>
    </row>
    <row r="59" spans="2:5">
      <c r="B59" s="55"/>
      <c r="C59" s="171" t="s">
        <v>51</v>
      </c>
    </row>
    <row r="60" spans="2:5">
      <c r="B60" s="55"/>
      <c r="C60" s="170" t="s">
        <v>99</v>
      </c>
    </row>
    <row r="61" spans="2:5">
      <c r="B61" s="55"/>
      <c r="C61" s="170" t="s">
        <v>60</v>
      </c>
    </row>
    <row r="62" spans="2:5">
      <c r="B62" s="55"/>
      <c r="C62" s="170" t="s">
        <v>59</v>
      </c>
    </row>
    <row r="63" spans="2:5">
      <c r="B63" s="55"/>
      <c r="C63" s="171" t="s">
        <v>87</v>
      </c>
    </row>
    <row r="64" spans="2:5">
      <c r="B64" s="55"/>
      <c r="C64" s="170" t="s">
        <v>88</v>
      </c>
    </row>
    <row r="65" spans="2:3">
      <c r="B65" s="55"/>
      <c r="C65" s="170" t="s">
        <v>96</v>
      </c>
    </row>
    <row r="66" spans="2:3">
      <c r="B66" s="55"/>
      <c r="C66" s="170" t="s">
        <v>89</v>
      </c>
    </row>
    <row r="67" spans="2:3">
      <c r="B67" s="55"/>
      <c r="C67" s="171" t="s">
        <v>36</v>
      </c>
    </row>
    <row r="68" spans="2:3">
      <c r="B68" s="55"/>
      <c r="C68" s="170" t="s">
        <v>100</v>
      </c>
    </row>
    <row r="69" spans="2:3">
      <c r="B69" s="55"/>
      <c r="C69" s="171" t="s">
        <v>37</v>
      </c>
    </row>
    <row r="70" spans="2:3">
      <c r="B70" s="55"/>
      <c r="C70" s="170" t="s">
        <v>90</v>
      </c>
    </row>
    <row r="71" spans="2:3">
      <c r="B71" s="55"/>
      <c r="C71" s="170" t="s">
        <v>38</v>
      </c>
    </row>
    <row r="72" spans="2:3">
      <c r="B72" s="55"/>
      <c r="C72" s="170" t="s">
        <v>39</v>
      </c>
    </row>
    <row r="73" spans="2:3">
      <c r="B73" s="55"/>
      <c r="C73" s="170" t="s">
        <v>40</v>
      </c>
    </row>
    <row r="74" spans="2:3" ht="13.5" customHeight="1">
      <c r="B74" s="55"/>
      <c r="C74" s="170" t="s">
        <v>41</v>
      </c>
    </row>
    <row r="75" spans="2:3" ht="13.5" customHeight="1">
      <c r="B75" s="55"/>
      <c r="C75" s="275"/>
    </row>
    <row r="76" spans="2:3" ht="13.5" customHeight="1">
      <c r="B76" s="55"/>
      <c r="C76" s="170"/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>
      <c r="B79" s="55"/>
      <c r="C79" s="170"/>
    </row>
    <row r="80" spans="2:3">
      <c r="B80" s="55"/>
      <c r="C80" s="322"/>
    </row>
    <row r="81" spans="2:3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171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42</v>
      </c>
    </row>
    <row r="89" spans="2:3">
      <c r="B89" s="55"/>
      <c r="C89" s="170" t="s">
        <v>43</v>
      </c>
    </row>
    <row r="90" spans="2:3">
      <c r="B90" s="55"/>
      <c r="C90" s="170" t="s">
        <v>44</v>
      </c>
    </row>
    <row r="91" spans="2:3">
      <c r="B91" s="55"/>
      <c r="C91" s="170" t="s">
        <v>101</v>
      </c>
    </row>
    <row r="92" spans="2:3">
      <c r="B92" s="55"/>
      <c r="C92" s="171" t="s">
        <v>22</v>
      </c>
    </row>
    <row r="93" spans="2:3">
      <c r="B93" s="55"/>
      <c r="C93" s="170" t="s">
        <v>45</v>
      </c>
    </row>
    <row r="94" spans="2:3">
      <c r="B94" s="55"/>
      <c r="C94" s="170" t="s">
        <v>46</v>
      </c>
    </row>
    <row r="95" spans="2:3">
      <c r="B95" s="55"/>
      <c r="C95" s="171" t="s">
        <v>24</v>
      </c>
    </row>
    <row r="96" spans="2:3">
      <c r="B96" s="55"/>
      <c r="C96" s="170" t="s">
        <v>47</v>
      </c>
    </row>
    <row r="97" spans="2:3">
      <c r="B97" s="55"/>
      <c r="C97" s="170" t="s">
        <v>48</v>
      </c>
    </row>
    <row r="98" spans="2:3">
      <c r="B98" s="55"/>
      <c r="C98" s="170" t="s">
        <v>73</v>
      </c>
    </row>
    <row r="99" spans="2:3">
      <c r="B99" s="55"/>
      <c r="C99" s="171" t="s">
        <v>28</v>
      </c>
    </row>
    <row r="100" spans="2:3">
      <c r="B100" s="55"/>
      <c r="C100" s="170" t="s">
        <v>49</v>
      </c>
    </row>
    <row r="101" spans="2:3">
      <c r="B101" s="55"/>
      <c r="C101" s="171" t="s">
        <v>34</v>
      </c>
    </row>
    <row r="102" spans="2:3">
      <c r="B102" s="55"/>
      <c r="C102" s="170" t="s">
        <v>50</v>
      </c>
    </row>
    <row r="103" spans="2:3">
      <c r="B103" s="55"/>
      <c r="C103" s="171" t="s">
        <v>51</v>
      </c>
    </row>
    <row r="104" spans="2:3">
      <c r="B104" s="55"/>
      <c r="C104" s="170" t="s">
        <v>97</v>
      </c>
    </row>
    <row r="105" spans="2:3">
      <c r="B105" s="55"/>
      <c r="C105" s="171" t="s">
        <v>36</v>
      </c>
    </row>
    <row r="106" spans="2:3">
      <c r="B106" s="55"/>
      <c r="C106" s="170" t="s">
        <v>91</v>
      </c>
    </row>
    <row r="107" spans="2:3">
      <c r="B107" s="55"/>
      <c r="C107" s="170" t="s">
        <v>98</v>
      </c>
    </row>
    <row r="108" spans="2:3">
      <c r="B108" s="55"/>
      <c r="C108" s="171" t="s">
        <v>37</v>
      </c>
    </row>
    <row r="109" spans="2:3">
      <c r="B109" s="55"/>
      <c r="C109" s="170" t="s">
        <v>52</v>
      </c>
    </row>
    <row r="110" spans="2:3">
      <c r="B110" s="55"/>
      <c r="C110" s="170" t="s">
        <v>53</v>
      </c>
    </row>
    <row r="111" spans="2:3">
      <c r="B111" s="55"/>
      <c r="C111" s="170" t="s">
        <v>54</v>
      </c>
    </row>
    <row r="112" spans="2:3">
      <c r="B112" s="55"/>
      <c r="C112" s="170" t="s">
        <v>55</v>
      </c>
    </row>
    <row r="113" spans="2:3">
      <c r="B113" s="55"/>
      <c r="C113" s="170" t="s">
        <v>56</v>
      </c>
    </row>
    <row r="114" spans="2:3">
      <c r="C114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opLeftCell="A5" zoomScale="130" zoomScaleNormal="130" workbookViewId="0">
      <selection activeCell="C8" sqref="C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(january-july)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(january-july)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(july)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(january-july)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(january-july)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(january-july)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(january-july)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(january-july)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(january-july)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(january-july)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(january-july)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(july)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july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july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july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july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I16" sqref="I1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(janeiro-julho)","TABLE I - Consolidated budget execution (january-july)")</f>
        <v>TABLE I - Consolidated budget execution (january-july)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787980.52725000016</v>
      </c>
      <c r="E5" s="57">
        <v>329169.72461000003</v>
      </c>
      <c r="F5" s="57">
        <v>232686.67008999997</v>
      </c>
      <c r="G5" s="57">
        <v>871281.10493999999</v>
      </c>
      <c r="H5" s="57">
        <v>7.7347324508054038</v>
      </c>
    </row>
    <row r="6" spans="1:10" ht="11.25" customHeight="1">
      <c r="C6" s="68" t="str">
        <f>+IF(Índice!$D$2=1,"Impostos diretos","Direct taxes")</f>
        <v>Direct taxes</v>
      </c>
      <c r="D6" s="56">
        <v>162602.50861000002</v>
      </c>
      <c r="E6" s="56">
        <v>0</v>
      </c>
      <c r="F6" s="56">
        <v>0</v>
      </c>
      <c r="G6" s="56">
        <v>162602.50861000002</v>
      </c>
      <c r="H6" s="56">
        <v>-11.554626201039575</v>
      </c>
    </row>
    <row r="7" spans="1:10">
      <c r="C7" s="68" t="str">
        <f>+IF(Índice!$D$2=1,"Impostos indiretos","Indirect taxes")</f>
        <v>Indirect taxes</v>
      </c>
      <c r="D7" s="56">
        <v>426789.35818000004</v>
      </c>
      <c r="E7" s="56">
        <v>0</v>
      </c>
      <c r="F7" s="56">
        <v>0</v>
      </c>
      <c r="G7" s="56">
        <v>426789.35818000004</v>
      </c>
      <c r="H7" s="56">
        <v>10.374333096692023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198588.66046000001</v>
      </c>
      <c r="E9" s="56">
        <v>329169.72461000003</v>
      </c>
      <c r="F9" s="56">
        <v>232686.67008999997</v>
      </c>
      <c r="G9" s="56">
        <v>255739.01490000013</v>
      </c>
      <c r="H9" s="56">
        <v>13.111942706942292</v>
      </c>
    </row>
    <row r="10" spans="1:10">
      <c r="C10" s="69" t="str">
        <f>+IF(Índice!$D$2=1,"Transferências correntes","Current transfers")</f>
        <v>Current transfers</v>
      </c>
      <c r="D10" s="56">
        <v>156884.86296</v>
      </c>
      <c r="E10" s="56">
        <v>322645.92298000003</v>
      </c>
      <c r="F10" s="56">
        <v>206825.02909999999</v>
      </c>
      <c r="G10" s="56">
        <v>181649.77478000004</v>
      </c>
      <c r="H10" s="56">
        <v>9.5980147122269202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154493.21300000002</v>
      </c>
      <c r="E11" s="56">
        <v>772.98082000000011</v>
      </c>
      <c r="F11" s="56">
        <v>10.290649999999999</v>
      </c>
      <c r="G11" s="56">
        <v>155276.48447000002</v>
      </c>
      <c r="H11" s="56">
        <v>7.6812015505821618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300625.53586999996</v>
      </c>
      <c r="F12" s="56">
        <v>204080.50439000002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26150.223249999864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92440.972269999998</v>
      </c>
      <c r="E14" s="57">
        <v>5708.0317900000018</v>
      </c>
      <c r="F14" s="57">
        <v>20068.478650000005</v>
      </c>
      <c r="G14" s="57">
        <v>109516.69463000001</v>
      </c>
      <c r="H14" s="57">
        <v>56.124440630156357</v>
      </c>
    </row>
    <row r="15" spans="1:10">
      <c r="C15" s="68" t="str">
        <f>+IF(Índice!$D$2=1,"Venda de bens de investimento","Sale of investment goods")</f>
        <v>Sale of investment goods</v>
      </c>
      <c r="D15" s="56">
        <v>871.65354000000002</v>
      </c>
      <c r="E15" s="56">
        <v>0</v>
      </c>
      <c r="F15" s="56">
        <v>257.73568999999998</v>
      </c>
      <c r="G15" s="56">
        <v>1129.38923</v>
      </c>
      <c r="H15" s="56">
        <v>-85.137481176145627</v>
      </c>
    </row>
    <row r="16" spans="1:10" ht="11.25" customHeight="1">
      <c r="C16" s="68" t="str">
        <f>+IF(Índice!$D$2=1,"Transferências capital","Capital transfers")</f>
        <v>Capital transfers</v>
      </c>
      <c r="D16" s="56">
        <v>87925.155139999988</v>
      </c>
      <c r="E16" s="56">
        <v>5669.9888900000014</v>
      </c>
      <c r="F16" s="56">
        <v>19141.612780000003</v>
      </c>
      <c r="G16" s="56">
        <v>102842.47747</v>
      </c>
      <c r="H16" s="56">
        <v>71.0890343565477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81203.786999999997</v>
      </c>
      <c r="E17" s="56">
        <v>41.051360000000003</v>
      </c>
      <c r="F17" s="56">
        <v>0</v>
      </c>
      <c r="G17" s="56">
        <v>81244.838359999994</v>
      </c>
      <c r="H17" s="56">
        <v>138.06208924397288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1563.6013399999999</v>
      </c>
      <c r="F18" s="56">
        <v>8330.6779999999999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1193.4912599999971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880421.49952000019</v>
      </c>
      <c r="E20" s="57">
        <v>334877.75640000001</v>
      </c>
      <c r="F20" s="57">
        <v>252755.14873999998</v>
      </c>
      <c r="G20" s="57">
        <v>980797.79957000003</v>
      </c>
      <c r="H20" s="57">
        <v>11.596936596221653</v>
      </c>
    </row>
    <row r="21" spans="3:8" ht="20.25" customHeight="1">
      <c r="C21" s="220" t="str">
        <f>+IF(Índice!$D$2=1,"Despesa corrente","Current expenditure")</f>
        <v>Current expenditure</v>
      </c>
      <c r="D21" s="220">
        <v>773128.65572000039</v>
      </c>
      <c r="E21" s="220">
        <v>324277.40454999998</v>
      </c>
      <c r="F21" s="220">
        <v>219812.3681299999</v>
      </c>
      <c r="G21" s="220">
        <v>838662.61139000021</v>
      </c>
      <c r="H21" s="220">
        <v>7.1562195994011146</v>
      </c>
    </row>
    <row r="22" spans="3:8" ht="10.5" customHeight="1">
      <c r="C22" s="68" t="str">
        <f>+IF(Índice!$D$2=1,"Consumo público","Public consumption")</f>
        <v>Public consumption</v>
      </c>
      <c r="D22" s="56">
        <v>344964.56912000012</v>
      </c>
      <c r="E22" s="56">
        <v>99213.185230000032</v>
      </c>
      <c r="F22" s="56">
        <v>211201.4681099999</v>
      </c>
      <c r="G22" s="56">
        <v>655379.22246000008</v>
      </c>
      <c r="H22" s="56">
        <v>7.4723066337278876</v>
      </c>
    </row>
    <row r="23" spans="3:8">
      <c r="C23" s="69" t="str">
        <f>+IF(Índice!$D$2=1,"Despesas com o pessoal","Compensation of employees")</f>
        <v>Compensation of employees</v>
      </c>
      <c r="D23" s="56">
        <v>262478.27671000012</v>
      </c>
      <c r="E23" s="56">
        <v>32746.92699</v>
      </c>
      <c r="F23" s="56">
        <v>145494.39331999994</v>
      </c>
      <c r="G23" s="56">
        <v>440719.5970200001</v>
      </c>
      <c r="H23" s="56">
        <v>5.6695287514156645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82486.29240999998</v>
      </c>
      <c r="E24" s="56">
        <v>66466.258240000039</v>
      </c>
      <c r="F24" s="56">
        <v>65707.074789999955</v>
      </c>
      <c r="G24" s="56">
        <v>214659.62543999997</v>
      </c>
      <c r="H24" s="56">
        <v>11.37339608141823</v>
      </c>
    </row>
    <row r="25" spans="3:8">
      <c r="C25" s="68" t="str">
        <f>+IF(Índice!$D$2=1,"Subsídios","Subsidies")</f>
        <v>Subsidies</v>
      </c>
      <c r="D25" s="56">
        <v>15885.097679999997</v>
      </c>
      <c r="E25" s="56">
        <v>3581.4926499999997</v>
      </c>
      <c r="F25" s="56">
        <v>0</v>
      </c>
      <c r="G25" s="56">
        <v>19466.590329999995</v>
      </c>
      <c r="H25" s="56">
        <v>22.913094198833583</v>
      </c>
    </row>
    <row r="26" spans="3:8">
      <c r="C26" s="68" t="str">
        <f>+IF(Índice!$D$2=1,"Juros e outros encargos","Interests and other charges")</f>
        <v>Interests and other charges</v>
      </c>
      <c r="D26" s="56">
        <v>88457.563079999978</v>
      </c>
      <c r="E26" s="56">
        <v>15.142349999999999</v>
      </c>
      <c r="F26" s="56">
        <v>994.83267000000001</v>
      </c>
      <c r="G26" s="56">
        <v>89467.538099999976</v>
      </c>
      <c r="H26" s="56">
        <v>5.7344768159800497</v>
      </c>
    </row>
    <row r="27" spans="3:8">
      <c r="C27" s="68" t="str">
        <f>+IF(Índice!$D$2=1,"Transferências correntes","Current transfers")</f>
        <v>Current transfers</v>
      </c>
      <c r="D27" s="56">
        <v>323821.42584000021</v>
      </c>
      <c r="E27" s="56">
        <v>221467.58431999997</v>
      </c>
      <c r="F27" s="56">
        <v>7616.0673499999994</v>
      </c>
      <c r="G27" s="56">
        <v>74349.260500000091</v>
      </c>
      <c r="H27" s="56">
        <v>2.707960849285862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105.28400000000001</v>
      </c>
      <c r="E28" s="56">
        <v>1486.4346300000002</v>
      </c>
      <c r="F28" s="56">
        <v>0</v>
      </c>
      <c r="G28" s="56">
        <v>1591.7186300000003</v>
      </c>
      <c r="H28" s="56">
        <v>56.546846343795679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278495.6705200001</v>
      </c>
      <c r="E29" s="56">
        <v>200060.14649000001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58174.936849999976</v>
      </c>
      <c r="E31" s="57">
        <v>3422.6860900000001</v>
      </c>
      <c r="F31" s="57">
        <v>15054.270130000004</v>
      </c>
      <c r="G31" s="57">
        <v>67951.104989999978</v>
      </c>
      <c r="H31" s="57">
        <v>-20.663465479942879</v>
      </c>
    </row>
    <row r="32" spans="3:8">
      <c r="C32" s="68" t="str">
        <f>+IF(Índice!$D$2=1,"Investimento","Investment")</f>
        <v>Investment</v>
      </c>
      <c r="D32" s="56">
        <v>42838.890539999971</v>
      </c>
      <c r="E32" s="56">
        <v>1153.7700500000001</v>
      </c>
      <c r="F32" s="56">
        <v>14964.070130000004</v>
      </c>
      <c r="G32" s="56">
        <v>58956.730719999978</v>
      </c>
      <c r="H32" s="56">
        <v>-4.7074917728491599</v>
      </c>
    </row>
    <row r="33" spans="3:8">
      <c r="C33" s="68" t="str">
        <f>+IF(Índice!$D$2=1,"Transferências capital","Capital transfers")</f>
        <v>Capital transfers</v>
      </c>
      <c r="D33" s="56">
        <v>15336.046310000003</v>
      </c>
      <c r="E33" s="56">
        <v>2268.9160400000001</v>
      </c>
      <c r="F33" s="56">
        <v>90.2</v>
      </c>
      <c r="G33" s="56">
        <v>8994.3742700000003</v>
      </c>
      <c r="H33" s="56">
        <v>-62.16355697517988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5323.6487400000005</v>
      </c>
      <c r="E34" s="56">
        <v>0.83492000000000011</v>
      </c>
      <c r="F34" s="56">
        <v>0</v>
      </c>
      <c r="G34" s="56">
        <v>5324.4836600000008</v>
      </c>
      <c r="H34" s="56">
        <v>30.270094369908197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8700.7880800000021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831303.59257000033</v>
      </c>
      <c r="E38" s="86">
        <v>327700.09063999995</v>
      </c>
      <c r="F38" s="86">
        <v>234866.63825999992</v>
      </c>
      <c r="G38" s="86">
        <v>906613.71638000023</v>
      </c>
      <c r="H38" s="86">
        <v>4.4120937430961904</v>
      </c>
    </row>
    <row r="39" spans="3:8" ht="17.25" customHeight="1">
      <c r="C39" s="138" t="str">
        <f>+IF(Índice!$D$2=1,"Saldo global","Overall balance")</f>
        <v>Overall balance</v>
      </c>
      <c r="D39" s="139">
        <v>49117.906949999859</v>
      </c>
      <c r="E39" s="139">
        <v>7177.6657600000617</v>
      </c>
      <c r="F39" s="139">
        <v>17888.510480000055</v>
      </c>
      <c r="G39" s="139">
        <v>74184.083189999801</v>
      </c>
      <c r="H39" s="139">
        <v>601.71390866571164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14851.871529999771</v>
      </c>
      <c r="E41" s="19">
        <v>4892.3200600000564</v>
      </c>
      <c r="F41" s="19">
        <v>12874.30196000007</v>
      </c>
      <c r="G41" s="19">
        <v>32618.493549999781</v>
      </c>
      <c r="H41" s="19">
        <v>25.099760448509056</v>
      </c>
    </row>
    <row r="42" spans="3:8">
      <c r="C42" s="68" t="str">
        <f>+IF(Índice!$D$2=1,"Despesa corrente primária","Primary current expenditure")</f>
        <v>Primary current expenditure</v>
      </c>
      <c r="D42" s="19">
        <v>684671.0926400004</v>
      </c>
      <c r="E42" s="19">
        <v>324262.2622</v>
      </c>
      <c r="F42" s="19">
        <v>218817.5354599999</v>
      </c>
      <c r="G42" s="19">
        <v>749195.0732900002</v>
      </c>
      <c r="H42" s="19">
        <v>7.3285612680855872</v>
      </c>
    </row>
    <row r="43" spans="3:8">
      <c r="C43" s="68" t="str">
        <f>+IF(Índice!$D$2=1,"Saldo corrente primário","Primary current balance")</f>
        <v>Primary current balance</v>
      </c>
      <c r="D43" s="19">
        <v>103309.43460999976</v>
      </c>
      <c r="E43" s="19">
        <v>4907.4624100000365</v>
      </c>
      <c r="F43" s="19">
        <v>13869.134630000073</v>
      </c>
      <c r="G43" s="19">
        <v>122086.03164999979</v>
      </c>
      <c r="H43" s="19">
        <v>10.296166349634506</v>
      </c>
    </row>
    <row r="44" spans="3:8">
      <c r="C44" s="68" t="str">
        <f>+IF(Índice!$D$2=1,"Saldo de capital","Capital balance")</f>
        <v>Capital balance</v>
      </c>
      <c r="D44" s="19">
        <v>34266.035420000022</v>
      </c>
      <c r="E44" s="19">
        <v>2285.3457000000017</v>
      </c>
      <c r="F44" s="19">
        <v>5014.2085200000001</v>
      </c>
      <c r="G44" s="19">
        <v>41565.589640000035</v>
      </c>
      <c r="H44" s="19">
        <v>368.12800663976373</v>
      </c>
    </row>
    <row r="45" spans="3:8">
      <c r="C45" s="68" t="str">
        <f t="array" ref="C45">+IF(Índice!$D$2=1,"Despesa primária","Primary expenditure")</f>
        <v>Primary expenditure</v>
      </c>
      <c r="D45" s="19">
        <v>742846.02949000034</v>
      </c>
      <c r="E45" s="19">
        <v>327684.94828999997</v>
      </c>
      <c r="F45" s="19">
        <v>233871.80558999992</v>
      </c>
      <c r="G45" s="19">
        <v>817146.17828000023</v>
      </c>
      <c r="H45" s="19">
        <v>4.2693152102093013</v>
      </c>
    </row>
    <row r="46" spans="3:8">
      <c r="C46" s="221" t="str">
        <f>+IF(Índice!$D$2=1,"Saldo primário","Primary balance")</f>
        <v>Primary balance</v>
      </c>
      <c r="D46" s="132">
        <v>137575.47002999985</v>
      </c>
      <c r="E46" s="132">
        <v>7192.8081100000418</v>
      </c>
      <c r="F46" s="132">
        <v>18883.343150000059</v>
      </c>
      <c r="G46" s="132">
        <v>163651.62128999981</v>
      </c>
      <c r="H46" s="132">
        <v>71.926196439728002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I16" sqref="I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(janeiro-julho)","TABLE II - Regional Gov. budget execution (january-july)")</f>
        <v>TABLE II - Regional Gov. budget execution (january-july)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741006.52747000009</v>
      </c>
      <c r="E5" s="225">
        <v>787980.52725000004</v>
      </c>
      <c r="F5" s="225">
        <v>6.3392153832142473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570519.58721000003</v>
      </c>
      <c r="E6" s="231">
        <v>589391.86679000012</v>
      </c>
      <c r="F6" s="231">
        <v>3.3079108943990576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183845.12566999998</v>
      </c>
      <c r="E7" s="231">
        <v>162602.50861000002</v>
      </c>
      <c r="F7" s="231">
        <v>-11.554626201039575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386674.46154000005</v>
      </c>
      <c r="E8" s="231">
        <v>426789.35818000004</v>
      </c>
      <c r="F8" s="231">
        <v>10.374333096692045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170486.94026</v>
      </c>
      <c r="E9" s="231">
        <v>198588.66045999998</v>
      </c>
      <c r="F9" s="231">
        <v>16.483209891117557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53874.950259999998</v>
      </c>
      <c r="E10" s="232">
        <v>92440.972269999998</v>
      </c>
      <c r="F10" s="232">
        <v>71.58432968175515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794881.47773000004</v>
      </c>
      <c r="E12" s="232">
        <v>880421.49952000007</v>
      </c>
      <c r="F12" s="232">
        <v>10.761355521112748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727994.37544999958</v>
      </c>
      <c r="E14" s="232">
        <v>773128.65572000039</v>
      </c>
      <c r="F14" s="232">
        <v>6.1998116732841169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249205.01866999944</v>
      </c>
      <c r="E15" s="231">
        <v>262478.2767100003</v>
      </c>
      <c r="F15" s="231">
        <v>5.3262402622707539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84241.033280000047</v>
      </c>
      <c r="E16" s="231">
        <v>81949.673419999977</v>
      </c>
      <c r="F16" s="231">
        <v>-2.7200044571913717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80463.433550000045</v>
      </c>
      <c r="E17" s="231">
        <v>88457.563079999978</v>
      </c>
      <c r="F17" s="231">
        <v>9.9351086292289281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300936.28827000002</v>
      </c>
      <c r="E18" s="231">
        <v>323821.4258400001</v>
      </c>
      <c r="F18" s="231">
        <v>7.6046453890823429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254325.96790000002</v>
      </c>
      <c r="E19" s="231">
        <v>278600.95452000009</v>
      </c>
      <c r="F19" s="231">
        <v>9.5448320989168103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46610.320369999987</v>
      </c>
      <c r="E20" s="231">
        <v>45220.471320000019</v>
      </c>
      <c r="F20" s="231">
        <v>-2.9818483094883885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12666.561709999998</v>
      </c>
      <c r="E21" s="231">
        <v>15885.097679999997</v>
      </c>
      <c r="F21" s="231">
        <v>25.409705046153363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482.03997000000015</v>
      </c>
      <c r="E22" s="231">
        <v>536.61899000000005</v>
      </c>
      <c r="F22" s="231">
        <v>11.322509210180209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71964.414279999997</v>
      </c>
      <c r="E23" s="232">
        <v>58174.936849999976</v>
      </c>
      <c r="F23" s="232">
        <v>-19.161522494086814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43945.128209999995</v>
      </c>
      <c r="E24" s="231">
        <v>42838.890539999971</v>
      </c>
      <c r="F24" s="231">
        <v>-2.5173158324027667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28019.286069999995</v>
      </c>
      <c r="E25" s="231">
        <v>15336.046310000003</v>
      </c>
      <c r="F25" s="231">
        <v>-45.266106096756786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23529.543139999994</v>
      </c>
      <c r="E26" s="231">
        <v>14024.436820000003</v>
      </c>
      <c r="F26" s="231">
        <v>-40.396476308294325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4489.7429300000003</v>
      </c>
      <c r="E27" s="231">
        <v>1311.6094900000001</v>
      </c>
      <c r="F27" s="231">
        <v>-70.786534764920276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799958.78972999961</v>
      </c>
      <c r="E29" s="235">
        <v>831303.59257000033</v>
      </c>
      <c r="F29" s="235">
        <v>3.9183021978644872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-5077.311999999496</v>
      </c>
      <c r="E31" s="139">
        <v>49117.906949999677</v>
      </c>
      <c r="F31" s="139">
        <v>1067.3998160838757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13012.152020000503</v>
      </c>
      <c r="E33" s="19">
        <v>14851.871529999655</v>
      </c>
      <c r="F33" s="19">
        <v>14.138472307819526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-18089.464019999999</v>
      </c>
      <c r="E34" s="19">
        <v>34266.035420000022</v>
      </c>
      <c r="F34" s="19">
        <v>289.42537701567579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75386.121550000549</v>
      </c>
      <c r="E35" s="19">
        <v>137575.47002999965</v>
      </c>
      <c r="F35" s="19">
        <v>82.494426296691017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16666.564459999998</v>
      </c>
      <c r="E36" s="106">
        <v>8246.9103599999999</v>
      </c>
      <c r="F36" s="106">
        <v>-50.51823439802061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I16" sqref="I16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(julho)","TABLE III - Regional Gov. budget execution (july)")</f>
        <v>TABLE III - Regional Gov. budget execution (july)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102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152278.85035999989</v>
      </c>
      <c r="E5" s="225">
        <v>159651.25440999996</v>
      </c>
      <c r="F5" s="225">
        <v>4.841384100662105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104806.80637999988</v>
      </c>
      <c r="E6" s="231">
        <v>99060.398419999954</v>
      </c>
      <c r="F6" s="231">
        <v>-5.4828576105687921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38969.32120999998</v>
      </c>
      <c r="E7" s="231">
        <v>25872.117060000004</v>
      </c>
      <c r="F7" s="231">
        <v>-33.609012790910718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65837.485169999898</v>
      </c>
      <c r="E8" s="231">
        <v>73188.28135999995</v>
      </c>
      <c r="F8" s="231">
        <v>11.165062230155742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47472.043980000017</v>
      </c>
      <c r="E9" s="231">
        <v>60590.855990000025</v>
      </c>
      <c r="F9" s="231">
        <v>27.634816009875141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15401.087509999996</v>
      </c>
      <c r="E10" s="232">
        <v>30113.98190999998</v>
      </c>
      <c r="F10" s="232">
        <v>95.531529123815687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167679.93786999988</v>
      </c>
      <c r="E12" s="232">
        <v>189765.23631999994</v>
      </c>
      <c r="F12" s="232">
        <v>13.171103669612826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119418.28644999949</v>
      </c>
      <c r="E14" s="232">
        <v>129254.98903999972</v>
      </c>
      <c r="F14" s="232">
        <v>8.2371828322280081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37568.265319999846</v>
      </c>
      <c r="E15" s="231">
        <v>39384.510889999481</v>
      </c>
      <c r="F15" s="231">
        <v>4.834520717230828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8258.5010900000179</v>
      </c>
      <c r="E16" s="231">
        <v>5681.1542799999715</v>
      </c>
      <c r="F16" s="231">
        <v>-31.20840915212667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28630.332960000047</v>
      </c>
      <c r="E17" s="231">
        <v>28059.309650000007</v>
      </c>
      <c r="F17" s="231">
        <v>-1.9944696794054972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43935.215509999573</v>
      </c>
      <c r="E18" s="231">
        <v>52278.84375000024</v>
      </c>
      <c r="F18" s="231">
        <v>18.990752960120737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948.19422000000066</v>
      </c>
      <c r="E19" s="231">
        <v>3760.9877199999987</v>
      </c>
      <c r="F19" s="231">
        <v>296.64739993880119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77.777350000000212</v>
      </c>
      <c r="E20" s="231">
        <v>90.182749999999999</v>
      </c>
      <c r="F20" s="231">
        <v>15.949887724382172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14439.094340000018</v>
      </c>
      <c r="E21" s="232">
        <v>10140.98518000004</v>
      </c>
      <c r="F21" s="232">
        <v>-29.767165853976774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8518.5892700000186</v>
      </c>
      <c r="E22" s="231">
        <v>6829.7336700000387</v>
      </c>
      <c r="F22" s="231">
        <v>-19.825531510805849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5920.5050700000002</v>
      </c>
      <c r="E23" s="231">
        <v>3311.2515100000014</v>
      </c>
      <c r="F23" s="231">
        <v>-44.071469057959924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133857.3807899995</v>
      </c>
      <c r="E25" s="300">
        <v>139395.97421999977</v>
      </c>
      <c r="F25" s="300">
        <v>4.1376825075409407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33822.557080000377</v>
      </c>
      <c r="E27" s="287">
        <v>50369.262100000167</v>
      </c>
      <c r="F27" s="287">
        <v>48.922099475985583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32860.563910000405</v>
      </c>
      <c r="E29" s="19">
        <v>30396.265370000241</v>
      </c>
      <c r="F29" s="19">
        <v>-7.4992582195164577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961.99316999997791</v>
      </c>
      <c r="E30" s="19">
        <v>19972.996729999941</v>
      </c>
      <c r="F30" s="19">
        <v>1976.2098269367546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62452.89004000042</v>
      </c>
      <c r="E31" s="19">
        <v>78428.571750000177</v>
      </c>
      <c r="F31" s="19">
        <v>25.580372180963117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I16" sqref="I1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(janeiro-julho)","TABLE IV - Regional Gov. tax revenue budget execution (january-july)")</f>
        <v>TABLE IV - Regional Gov. tax revenue budget execution (january-july)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570519.58721000003</v>
      </c>
      <c r="E5" s="33">
        <v>589391.86679000012</v>
      </c>
      <c r="F5" s="270">
        <v>0.54967461312333565</v>
      </c>
      <c r="G5" s="270">
        <v>3.3079108943990576E-2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183845.12566999998</v>
      </c>
      <c r="E7" s="70">
        <v>162602.50861000002</v>
      </c>
      <c r="F7" s="271">
        <v>0.42900428928281742</v>
      </c>
      <c r="G7" s="271">
        <v>-0.11554626201039575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84880.216819999987</v>
      </c>
      <c r="E8" s="70">
        <v>93475.923520000011</v>
      </c>
      <c r="F8" s="271">
        <v>0.38907458200306494</v>
      </c>
      <c r="G8" s="271">
        <v>0.10126867039263554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98964.908849999993</v>
      </c>
      <c r="E9" s="70">
        <v>69126.585089999993</v>
      </c>
      <c r="F9" s="271">
        <v>0.49813388437891981</v>
      </c>
      <c r="G9" s="271">
        <v>-0.30150407964529746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386674.46154000005</v>
      </c>
      <c r="E11" s="70">
        <v>426789.35818000004</v>
      </c>
      <c r="F11" s="271">
        <v>0.61565075574983652</v>
      </c>
      <c r="G11" s="271">
        <v>0.10374333096692046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18416.27</v>
      </c>
      <c r="E12" s="70">
        <v>19629.154320000001</v>
      </c>
      <c r="F12" s="271">
        <v>0.3811190260950606</v>
      </c>
      <c r="G12" s="271">
        <v>6.585939063664914E-2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306675.84132999997</v>
      </c>
      <c r="E13" s="70">
        <v>343799.43254999997</v>
      </c>
      <c r="F13" s="271">
        <v>0.65166669719345394</v>
      </c>
      <c r="G13" s="271">
        <v>0.12105156721508092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3888.4966099999997</v>
      </c>
      <c r="E14" s="70">
        <v>3455.6996200000003</v>
      </c>
      <c r="F14" s="271">
        <v>0.67507318226216062</v>
      </c>
      <c r="G14" s="271">
        <v>-0.11130188178304712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18728.798460000002</v>
      </c>
      <c r="E15" s="70">
        <v>19497.01093</v>
      </c>
      <c r="F15" s="271">
        <v>0.51992029146666663</v>
      </c>
      <c r="G15" s="271">
        <v>4.1017712462478872E-2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4692.3715099999999</v>
      </c>
      <c r="E16" s="70">
        <v>5762.8330700000006</v>
      </c>
      <c r="F16" s="271">
        <v>0.52150778031063327</v>
      </c>
      <c r="G16" s="271">
        <v>0.22812804947748067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34272.68363</v>
      </c>
      <c r="E17" s="70">
        <v>34645.22769</v>
      </c>
      <c r="F17" s="271">
        <v>0.57274181001952529</v>
      </c>
      <c r="G17" s="271">
        <v>1.0869999677349362E-2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18010.932760000003</v>
      </c>
      <c r="E18" s="70">
        <v>19038.849509999996</v>
      </c>
      <c r="F18" s="271">
        <v>0.55850622678201534</v>
      </c>
      <c r="G18" s="271">
        <v>5.7071822081467438E-2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4207.2540999999983</v>
      </c>
      <c r="E19" s="70">
        <v>3814.9639499999998</v>
      </c>
      <c r="F19" s="271">
        <v>0.49899754174353345</v>
      </c>
      <c r="G19" s="271">
        <v>-9.3241373274791872E-2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224361.89052000002</v>
      </c>
      <c r="E21" s="33">
        <v>291029.63272999995</v>
      </c>
      <c r="F21" s="270">
        <v>0.48388664054521247</v>
      </c>
      <c r="G21" s="270">
        <v>0.29714378879356551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794881.47773000004</v>
      </c>
      <c r="E23" s="139">
        <v>880421.49952000007</v>
      </c>
      <c r="F23" s="274">
        <v>0.52603376441524363</v>
      </c>
      <c r="G23" s="274">
        <v>0.10761355521112748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I16" sqref="I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(janeiro-julho)","TABLE V - Regional Gov. non-tax revenue budget execution (january-july)")</f>
        <v>TABLE V - Regional Gov. non-tax revenue budget execution (january-july)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570519.58721000003</v>
      </c>
      <c r="E5" s="41">
        <v>589391.86679000012</v>
      </c>
      <c r="F5" s="276">
        <v>0.54967461312333565</v>
      </c>
      <c r="G5" s="42">
        <v>3.3079108943990576E-2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224361.89052000002</v>
      </c>
      <c r="E7" s="41">
        <v>291029.63272999995</v>
      </c>
      <c r="F7" s="276">
        <v>0.48388664054521247</v>
      </c>
      <c r="G7" s="42">
        <v>0.29714378879356551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170486.94026</v>
      </c>
      <c r="E8" s="41">
        <v>198588.66045999998</v>
      </c>
      <c r="F8" s="276">
        <v>0.7318741746827494</v>
      </c>
      <c r="G8" s="42">
        <v>0.16483209891117556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12192.544039999999</v>
      </c>
      <c r="E10" s="71">
        <v>14868.24113</v>
      </c>
      <c r="F10" s="278">
        <v>0.61564622571879613</v>
      </c>
      <c r="G10" s="43">
        <v>0.21945355138532685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8394.0486600000004</v>
      </c>
      <c r="E11" s="71">
        <v>4834.331619999999</v>
      </c>
      <c r="F11" s="278">
        <v>0.55816910232151928</v>
      </c>
      <c r="G11" s="43">
        <v>-0.42407629311979722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142872.61806000001</v>
      </c>
      <c r="E12" s="71">
        <v>156884.86296</v>
      </c>
      <c r="F12" s="278">
        <v>0.80180110878991673</v>
      </c>
      <c r="G12" s="43">
        <v>9.8075090176589885E-2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6166.1736400000009</v>
      </c>
      <c r="E13" s="47">
        <v>7118.4578199999987</v>
      </c>
      <c r="F13" s="278">
        <v>0.71284669003748147</v>
      </c>
      <c r="G13" s="43">
        <v>0.15443680888623135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861.55586000000017</v>
      </c>
      <c r="E14" s="71">
        <v>14882.766929999998</v>
      </c>
      <c r="F14" s="278">
        <v>0.45264674387603426</v>
      </c>
      <c r="G14" s="43">
        <v>16.274291338462948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53874.950259999998</v>
      </c>
      <c r="E17" s="41">
        <v>92440.972269999998</v>
      </c>
      <c r="F17" s="276">
        <v>0.28004003267091276</v>
      </c>
      <c r="G17" s="42">
        <v>0.71584329681755143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7563.8750199999995</v>
      </c>
      <c r="E18" s="71">
        <v>871.65354000000002</v>
      </c>
      <c r="F18" s="278">
        <v>3.2108739387610198E-2</v>
      </c>
      <c r="G18" s="43">
        <v>-0.8847609806223371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44031.298649999997</v>
      </c>
      <c r="E19" s="44">
        <v>87925.155140000003</v>
      </c>
      <c r="F19" s="278">
        <v>0.29902303705802202</v>
      </c>
      <c r="G19" s="43">
        <v>0.99687853494641376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8.2813999999999997</v>
      </c>
      <c r="E20" s="71">
        <v>18.735439999999997</v>
      </c>
      <c r="F20" s="278">
        <v>9.0509371980676327</v>
      </c>
      <c r="G20" s="43">
        <v>1.2623517762697127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2271.4951900000001</v>
      </c>
      <c r="E21" s="47">
        <v>3625.4281499999997</v>
      </c>
      <c r="F21" s="278">
        <v>0.40695229847576475</v>
      </c>
      <c r="G21" s="43">
        <v>0.5960536328496473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794881.47773000004</v>
      </c>
      <c r="E23" s="287">
        <v>880421.49952000007</v>
      </c>
      <c r="F23" s="288">
        <v>0.52603376441524363</v>
      </c>
      <c r="G23" s="288">
        <v>0.10761355521112748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I16" sqref="I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(janeiro-julho)","TABLE VI - Regional Gov. expenditure budget execution (january-july)")</f>
        <v>TABLE VI - Regional Gov. expenditure budget execution (january-july)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727994.37544999958</v>
      </c>
      <c r="E5" s="253">
        <v>773128.65572000039</v>
      </c>
      <c r="F5" s="253">
        <v>51.999443733795722</v>
      </c>
      <c r="G5" s="253">
        <v>49.720752321919399</v>
      </c>
      <c r="H5" s="253">
        <v>6.1998116732841071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249205.01866999944</v>
      </c>
      <c r="E6" s="74">
        <v>262478.2767100003</v>
      </c>
      <c r="F6" s="74">
        <v>56.002008092239429</v>
      </c>
      <c r="G6" s="74">
        <v>54.408626410446161</v>
      </c>
      <c r="H6" s="254">
        <v>5.3262402622707539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204297.33989999938</v>
      </c>
      <c r="E7" s="75">
        <v>215071.84971000033</v>
      </c>
      <c r="F7" s="75">
        <v>57.828162394191871</v>
      </c>
      <c r="G7" s="75">
        <v>55.377744306749207</v>
      </c>
      <c r="H7" s="254">
        <v>5.2739354390394499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2526.4888699999997</v>
      </c>
      <c r="E8" s="75">
        <v>2686.5562999999988</v>
      </c>
      <c r="F8" s="75">
        <v>32.503060176918282</v>
      </c>
      <c r="G8" s="75">
        <v>33.751750368164629</v>
      </c>
      <c r="H8" s="254">
        <v>6.335568381110626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42381.189900000027</v>
      </c>
      <c r="E9" s="75">
        <v>44719.870699999985</v>
      </c>
      <c r="F9" s="75">
        <v>50.491995295536299</v>
      </c>
      <c r="G9" s="75">
        <v>51.946559729237741</v>
      </c>
      <c r="H9" s="254">
        <v>5.5182046693784708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84241.033280000047</v>
      </c>
      <c r="E10" s="75">
        <v>81949.673419999977</v>
      </c>
      <c r="F10" s="75">
        <v>41.931729302091036</v>
      </c>
      <c r="G10" s="75">
        <v>38.297155868494016</v>
      </c>
      <c r="H10" s="254">
        <v>-2.7200044571913735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80463.433550000045</v>
      </c>
      <c r="E11" s="75">
        <v>88457.563079999978</v>
      </c>
      <c r="F11" s="75">
        <v>53.981358904136378</v>
      </c>
      <c r="G11" s="75">
        <v>60.255497896871226</v>
      </c>
      <c r="H11" s="254">
        <v>9.935108629228921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300936.28827000002</v>
      </c>
      <c r="E12" s="74">
        <v>323821.4258400001</v>
      </c>
      <c r="F12" s="74">
        <v>52.89748525656448</v>
      </c>
      <c r="G12" s="74">
        <v>48.734704995781023</v>
      </c>
      <c r="H12" s="254">
        <v>7.6046453890823349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254325.96790000002</v>
      </c>
      <c r="E13" s="74">
        <v>278600.95452000009</v>
      </c>
      <c r="F13" s="74">
        <v>56.098639594693758</v>
      </c>
      <c r="G13" s="74">
        <v>50.385890672208134</v>
      </c>
      <c r="H13" s="254">
        <v>9.5448320989168103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254325.96790000002</v>
      </c>
      <c r="E15" s="75">
        <v>278495.6705200001</v>
      </c>
      <c r="F15" s="75">
        <v>56.130459837273293</v>
      </c>
      <c r="G15" s="75">
        <v>50.410617701852289</v>
      </c>
      <c r="H15" s="254">
        <v>9.5034348319097006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103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103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46610.320369999987</v>
      </c>
      <c r="E18" s="75">
        <v>45220.471320000019</v>
      </c>
      <c r="F18" s="72">
        <v>40.337880407894595</v>
      </c>
      <c r="G18" s="72">
        <v>40.548081794438197</v>
      </c>
      <c r="H18" s="77">
        <v>-2.9818483094883912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12666.561709999998</v>
      </c>
      <c r="E19" s="72">
        <v>15885.097679999997</v>
      </c>
      <c r="F19" s="72">
        <v>39.326284586913019</v>
      </c>
      <c r="G19" s="72">
        <v>35.826901983499063</v>
      </c>
      <c r="H19" s="77">
        <v>25.409705046153363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482.03997000000015</v>
      </c>
      <c r="E20" s="72">
        <v>536.61899000000005</v>
      </c>
      <c r="F20" s="72">
        <v>12.236756269357924</v>
      </c>
      <c r="G20" s="72">
        <v>18.268489978559284</v>
      </c>
      <c r="H20" s="77">
        <v>11.322509210180202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647530.94189999951</v>
      </c>
      <c r="E22" s="78">
        <v>684671.0926400004</v>
      </c>
      <c r="F22" s="78">
        <v>51.763286568647082</v>
      </c>
      <c r="G22" s="78">
        <v>48.622461654403921</v>
      </c>
      <c r="H22" s="76">
        <v>5.7356565280144673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71964.414279999997</v>
      </c>
      <c r="E24" s="78">
        <v>58174.936849999976</v>
      </c>
      <c r="F24" s="78">
        <v>22.606802762580376</v>
      </c>
      <c r="G24" s="78">
        <v>19.03593817238368</v>
      </c>
      <c r="H24" s="76">
        <v>-19.16152249408681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43945.128209999995</v>
      </c>
      <c r="E25" s="72">
        <v>42838.890539999971</v>
      </c>
      <c r="F25" s="72">
        <v>20.090055673635749</v>
      </c>
      <c r="G25" s="72">
        <v>22.017326316559313</v>
      </c>
      <c r="H25" s="77">
        <v>-2.5173158324027658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28019.286069999995</v>
      </c>
      <c r="E26" s="59">
        <v>15336.046310000003</v>
      </c>
      <c r="F26" s="59">
        <v>28.134611813245314</v>
      </c>
      <c r="G26" s="59">
        <v>13.811674576279129</v>
      </c>
      <c r="H26" s="77">
        <v>-45.266106096756779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23529.543139999994</v>
      </c>
      <c r="E27" s="59">
        <v>14024.436820000003</v>
      </c>
      <c r="F27" s="59">
        <v>27.379174120790577</v>
      </c>
      <c r="G27" s="59">
        <v>19.636403795392528</v>
      </c>
      <c r="H27" s="77">
        <v>-40.396476308294332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3348.2543099999998</v>
      </c>
      <c r="E28" s="72">
        <v>4852.8693800000001</v>
      </c>
      <c r="F28" s="72">
        <v>63.109095237359249</v>
      </c>
      <c r="G28" s="72">
        <v>63.317354784659742</v>
      </c>
      <c r="H28" s="77">
        <v>44.937299580449142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19442.278379999992</v>
      </c>
      <c r="E29" s="72">
        <v>8700.7880800000021</v>
      </c>
      <c r="F29" s="72">
        <v>25.781678956814098</v>
      </c>
      <c r="G29" s="72">
        <v>15.112287902401391</v>
      </c>
      <c r="H29" s="77">
        <v>-55.248104620544972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739.01045000000011</v>
      </c>
      <c r="E30" s="72">
        <v>470.77936</v>
      </c>
      <c r="F30" s="72">
        <v>14.149579233076848</v>
      </c>
      <c r="G30" s="72">
        <v>7.6153528232149688</v>
      </c>
      <c r="H30" s="77">
        <v>-36.295980659001515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799958.78972999961</v>
      </c>
      <c r="E33" s="142">
        <v>831303.59257000033</v>
      </c>
      <c r="F33" s="143">
        <v>46.55429890423364</v>
      </c>
      <c r="G33" s="143">
        <v>44.680591557489684</v>
      </c>
      <c r="H33" s="141">
        <v>3.9183021978644859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16666.564459999998</v>
      </c>
      <c r="E36" s="150">
        <v>8246.9103599999999</v>
      </c>
      <c r="F36" s="150">
        <v>16.291286051423842</v>
      </c>
      <c r="G36" s="150">
        <v>17.311515618570038</v>
      </c>
      <c r="H36" s="128">
        <v>-50.51823439802061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167600.23215999999</v>
      </c>
      <c r="E37" s="150">
        <v>179416.6845</v>
      </c>
      <c r="F37" s="150">
        <v>64.598377301031178</v>
      </c>
      <c r="G37" s="150">
        <v>67.761417309220462</v>
      </c>
      <c r="H37" s="128">
        <v>7.0503794581378694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16" sqref="I1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(janeiro-julho)","TABLE VII - Regional Gov. expenditure by functional classification (january-july)")</f>
        <v>TABLE VII - Regional Gov. expenditure by functional classification (january-july)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131766.17343</v>
      </c>
      <c r="E5" s="34">
        <v>141673.70108999993</v>
      </c>
      <c r="F5" s="34">
        <v>17.042354003548997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6200.1090100000001</v>
      </c>
      <c r="E7" s="34">
        <v>6687.8758300000027</v>
      </c>
      <c r="F7" s="34">
        <v>0.8045046225921193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134746.34465000004</v>
      </c>
      <c r="E8" s="34">
        <v>133743.71745999999</v>
      </c>
      <c r="F8" s="34">
        <v>16.088432511945168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9519.1061699999991</v>
      </c>
      <c r="E9" s="34">
        <v>10145.166959999995</v>
      </c>
      <c r="F9" s="34">
        <v>1.2203925317627842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43300.544090000003</v>
      </c>
      <c r="E10" s="34">
        <v>31665.23851000001</v>
      </c>
      <c r="F10" s="34">
        <v>3.8091064194858104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217436.30333000002</v>
      </c>
      <c r="E11" s="34">
        <v>239844.92356</v>
      </c>
      <c r="F11" s="34">
        <v>28.851664506647012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18187.74857</v>
      </c>
      <c r="E12" s="34">
        <v>15358.642169999988</v>
      </c>
      <c r="F12" s="34">
        <v>1.8475370860022746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227510.8308400003</v>
      </c>
      <c r="E13" s="34">
        <v>240962.14330999955</v>
      </c>
      <c r="F13" s="34">
        <v>28.986058217919886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11291.629640000008</v>
      </c>
      <c r="E14" s="34">
        <v>11222.183680000002</v>
      </c>
      <c r="F14" s="34">
        <v>1.3499501000959579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799958.78973000043</v>
      </c>
      <c r="E17" s="145">
        <v>831303.5925699994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16666.564459999998</v>
      </c>
      <c r="E20" s="152">
        <v>8246.9103599999999</v>
      </c>
      <c r="F20" s="152">
        <v>0.99204555756873791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167600.23215999999</v>
      </c>
      <c r="E21" s="283">
        <v>179416.6845</v>
      </c>
      <c r="F21" s="283">
        <v>21.582570567911063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2024-08-23T12:56:48Z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