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Agosto\"/>
    </mc:Choice>
  </mc:AlternateContent>
  <xr:revisionPtr revIDLastSave="0" documentId="13_ncr:1_{607D8EDF-4136-474F-A3C2-ED3CA8C6825E}" xr6:coauthVersionLast="47" xr6:coauthVersionMax="47" xr10:uidLastSave="{00000000-0000-0000-0000-000000000000}"/>
  <bookViews>
    <workbookView xWindow="28680" yWindow="-120" windowWidth="29040" windowHeight="1584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50"/>
  <c r="C2" i="9"/>
  <c r="C2" i="60"/>
  <c r="C2" i="8"/>
  <c r="C2" i="3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<sst xmlns="http://schemas.openxmlformats.org/spreadsheetml/2006/main" count="124" uniqueCount="107">
  <si>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</si>
  <si>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</si>
  <si>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</si>
  <si>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</si>
  <si>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</si>
  <si>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</si>
  <si>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</si>
  <si>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</si>
  <si>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</si>
  <si>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</si>
  <si>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</si>
  <si>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</si>
  <si>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</si>
  <si>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</si>
  <si>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</si>
  <si>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</si>
  <si>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</si>
  <si>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</si>
  <si>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</si>
  <si>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</si>
  <si>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</si>
  <si>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</si>
  <si>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</si>
  <si>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</si>
  <si>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</si>
  <si>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</si>
  <si>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</si>
  <si>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</si>
  <si>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</si>
  <si>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</si>
  <si>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</si>
  <si>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</si>
  <si>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</si>
  <si>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</si>
  <si>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</si>
  <si>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</si>
  <si>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</si>
  <si>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</si>
  <si>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</si>
  <si>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</si>
  <si>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</si>
  <si>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</si>
  <si>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</si>
  <si>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</si>
  <si>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</si>
  <si>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</si>
  <si>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</si>
  <si>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</si>
  <si>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</si>
  <si>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</si>
  <si>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</si>
  <si>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</si>
  <si>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</si>
  <si>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</si>
  <si>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</si>
  <si>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</si>
  <si>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</si>
  <si>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</si>
  <si>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</si>
  <si>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</si>
  <si>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</si>
  <si>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</si>
  <si>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</si>
  <si>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</si>
  <si>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</si>
  <si>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</si>
  <si>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</si>
  <si>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</si>
  <si>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</si>
  <si>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</si>
  <si>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</si>
  <si>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</si>
  <si>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</si>
  <si>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</si>
  <si>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</si>
  <si>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</si>
  <si>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</si>
  <si>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</si>
  <si>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</si>
  <si>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</si>
  <si>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</si>
  <si>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</si>
  <si>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</si>
  <si>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</si>
  <si>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</si>
  <si>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</si>
  <si>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</si>
  <si>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</si>
  <si>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</si>
  <si>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</si>
  <si>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</si>
  <si>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</si>
  <si>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</si>
  <si>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</si>
  <si>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</si>
  <si>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</si>
  <si>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Direção Regional de Turismo</t>
  </si>
  <si>
    <t>Direção Regional dos Assuntos Sociais</t>
  </si>
  <si>
    <t>Instituto do Vinho, do Bordado e do Artesanato da Madeira</t>
  </si>
  <si>
    <t>Drpri-Gabinete do Diretor Regional</t>
  </si>
  <si>
    <t>Direção Regional de Agricultura e Desenvolvimento Rural</t>
  </si>
  <si>
    <t>Direção Regional de Equipamento Social e Conservação</t>
  </si>
  <si>
    <t>Autoridade Tributária e Assuntos Fiscais da RAM</t>
  </si>
  <si>
    <t>CARAM -Centro de Abate da Região Autónoma da Madeira, EPERAM</t>
  </si>
  <si>
    <t>Gabinete da Secretária Regional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</si>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</sst>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4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AO7">
            <v>1083883.5699999998</v>
          </cell>
        </row>
      </sheetData>
      <sheetData sheetId="22"/>
      <sheetData sheetId="23"/>
      <sheetData sheetId="24"/>
      <sheetData sheetId="25">
        <row r="7">
          <cell r="AO7">
            <v>0</v>
          </cell>
        </row>
      </sheetData>
      <sheetData sheetId="26">
        <row r="7">
          <cell r="AO7">
            <v>1059079.6799999999</v>
          </cell>
        </row>
      </sheetData>
      <sheetData sheetId="27">
        <row r="7">
          <cell r="AO7">
            <v>0</v>
          </cell>
        </row>
      </sheetData>
      <sheetData sheetId="28">
        <row r="7">
          <cell r="AO7">
            <v>20619.95</v>
          </cell>
        </row>
      </sheetData>
      <sheetData sheetId="29">
        <row r="7">
          <cell r="AO7">
            <v>0</v>
          </cell>
        </row>
      </sheetData>
      <sheetData sheetId="30">
        <row r="7">
          <cell r="AO7">
            <v>0</v>
          </cell>
        </row>
      </sheetData>
      <sheetData sheetId="31">
        <row r="7">
          <cell r="AO7">
            <v>459.98</v>
          </cell>
        </row>
      </sheetData>
      <sheetData sheetId="32">
        <row r="7">
          <cell r="AO7">
            <v>2584.17</v>
          </cell>
        </row>
      </sheetData>
      <sheetData sheetId="33">
        <row r="7">
          <cell r="AO7">
            <v>0</v>
          </cell>
        </row>
      </sheetData>
      <sheetData sheetId="34">
        <row r="7">
          <cell r="AO7">
            <v>472.31999999999994</v>
          </cell>
        </row>
      </sheetData>
      <sheetData sheetId="35">
        <row r="7">
          <cell r="AO7">
            <v>667.47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R32" sqref="R32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(janeiro-agosto)","TABLE VIII - Budget execution by organic and economic cross-classification (january-august)")</f>
        <v>QUADRO VIII - Execução orçamental por classificação cruzada orgânica e económica (janeiro-agosto)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24</v>
      </c>
    </row>
    <row r="4" spans="2:18" ht="27" customHeight="1">
      <c r="C4" s="253" t="str">
        <f>+IF(Índice!$D$2=1,"Despesa corrente","Current expenditure")</f>
        <v>Despesa corrente</v>
      </c>
      <c r="D4" s="194">
        <v>9290</v>
      </c>
      <c r="E4" s="194">
        <v>1772.1819499999999</v>
      </c>
      <c r="F4" s="194">
        <v>272058.61232999986</v>
      </c>
      <c r="G4" s="194">
        <v>23743.70982</v>
      </c>
      <c r="H4" s="194">
        <v>127672.13338000003</v>
      </c>
      <c r="I4" s="194">
        <v>252695.31616999998</v>
      </c>
      <c r="J4" s="194">
        <v>22047.939330000001</v>
      </c>
      <c r="K4" s="194">
        <v>14973.055040000001</v>
      </c>
      <c r="L4" s="194">
        <v>11452.107280000002</v>
      </c>
      <c r="M4" s="194">
        <v>4679.2479699999994</v>
      </c>
      <c r="N4" s="194">
        <v>18062.095219999999</v>
      </c>
      <c r="O4" s="194">
        <v>83440.165110000002</v>
      </c>
      <c r="P4" s="194">
        <v>841886.56359999988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1124.5454099999999</v>
      </c>
      <c r="F5" s="196">
        <v>214837.76139999981</v>
      </c>
      <c r="G5" s="196">
        <v>4462.479980000001</v>
      </c>
      <c r="H5" s="196">
        <v>19355.827260000005</v>
      </c>
      <c r="I5" s="196">
        <v>3435.6458700000003</v>
      </c>
      <c r="J5" s="196">
        <v>8010.7750800000003</v>
      </c>
      <c r="K5" s="196">
        <v>3569.1649100000009</v>
      </c>
      <c r="L5" s="196">
        <v>3740.9637999999995</v>
      </c>
      <c r="M5" s="196">
        <v>3775.6723000000002</v>
      </c>
      <c r="N5" s="196">
        <v>11594.60563</v>
      </c>
      <c r="O5" s="196">
        <v>10297.10896</v>
      </c>
      <c r="P5" s="196">
        <v>284204.55059999978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878.85336999999993</v>
      </c>
      <c r="F6" s="198">
        <v>175497.54668999981</v>
      </c>
      <c r="G6" s="198">
        <v>3664.3507200000013</v>
      </c>
      <c r="H6" s="198">
        <v>14950.042810000004</v>
      </c>
      <c r="I6" s="198">
        <v>2769.15353</v>
      </c>
      <c r="J6" s="198">
        <v>6555.4967500000002</v>
      </c>
      <c r="K6" s="198">
        <v>2844.7628600000007</v>
      </c>
      <c r="L6" s="198">
        <v>3089.7123399999996</v>
      </c>
      <c r="M6" s="198">
        <v>3026.3052699999998</v>
      </c>
      <c r="N6" s="198">
        <v>9317.0651500000004</v>
      </c>
      <c r="O6" s="198">
        <v>8365.3043099999995</v>
      </c>
      <c r="P6" s="198">
        <v>230958.59379999983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18.345099999999999</v>
      </c>
      <c r="F7" s="198">
        <v>2689.424230000001</v>
      </c>
      <c r="G7" s="198">
        <v>46.754130000000004</v>
      </c>
      <c r="H7" s="198">
        <v>1123.6123300000002</v>
      </c>
      <c r="I7" s="198">
        <v>63.554230000000004</v>
      </c>
      <c r="J7" s="198">
        <v>96.806240000000003</v>
      </c>
      <c r="K7" s="198">
        <v>133.98770000000002</v>
      </c>
      <c r="L7" s="198">
        <v>33.721850000000003</v>
      </c>
      <c r="M7" s="198">
        <v>121.66929999999999</v>
      </c>
      <c r="N7" s="198">
        <v>283.50593999999995</v>
      </c>
      <c r="O7" s="198">
        <v>189.15156999999999</v>
      </c>
      <c r="P7" s="198">
        <v>4800.5326200000009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227.34693999999996</v>
      </c>
      <c r="F8" s="198">
        <v>36650.790480000003</v>
      </c>
      <c r="G8" s="198">
        <v>751.3751299999999</v>
      </c>
      <c r="H8" s="198">
        <v>3282.1721200000006</v>
      </c>
      <c r="I8" s="198">
        <v>602.93810999999994</v>
      </c>
      <c r="J8" s="198">
        <v>1358.4720900000002</v>
      </c>
      <c r="K8" s="198">
        <v>590.41435000000001</v>
      </c>
      <c r="L8" s="198">
        <v>617.52960999999993</v>
      </c>
      <c r="M8" s="198">
        <v>627.69773000000009</v>
      </c>
      <c r="N8" s="198">
        <v>1994.0345400000003</v>
      </c>
      <c r="O8" s="198">
        <v>1742.6530799999998</v>
      </c>
      <c r="P8" s="198">
        <v>48445.424180000009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604.62004000000002</v>
      </c>
      <c r="F9" s="196">
        <v>11638.245920000008</v>
      </c>
      <c r="G9" s="196">
        <v>1048.8969999999999</v>
      </c>
      <c r="H9" s="196">
        <v>23101.200890000011</v>
      </c>
      <c r="I9" s="196">
        <v>608.40567999999985</v>
      </c>
      <c r="J9" s="196">
        <v>5554.3074699999988</v>
      </c>
      <c r="K9" s="196">
        <v>302.45314999999999</v>
      </c>
      <c r="L9" s="196">
        <v>549.31119000000001</v>
      </c>
      <c r="M9" s="196">
        <v>742.01692999999989</v>
      </c>
      <c r="N9" s="196">
        <v>2547.1095999999998</v>
      </c>
      <c r="O9" s="196">
        <v>69165.475479999994</v>
      </c>
      <c r="P9" s="196">
        <v>115862.04335000001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97.000479999999996</v>
      </c>
      <c r="F10" s="198">
        <v>6279.0449200000039</v>
      </c>
      <c r="G10" s="198">
        <v>115.33537000000001</v>
      </c>
      <c r="H10" s="198">
        <v>341.52010999999993</v>
      </c>
      <c r="I10" s="198">
        <v>127.31385</v>
      </c>
      <c r="J10" s="198">
        <v>1556.5368700000001</v>
      </c>
      <c r="K10" s="198">
        <v>6.3737400000000006</v>
      </c>
      <c r="L10" s="198">
        <v>34.479910000000004</v>
      </c>
      <c r="M10" s="198">
        <v>46.150559999999999</v>
      </c>
      <c r="N10" s="198">
        <v>407.87569999999994</v>
      </c>
      <c r="O10" s="198">
        <v>824.00147000000015</v>
      </c>
      <c r="P10" s="198">
        <v>9835.6329800000058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507.61956000000004</v>
      </c>
      <c r="F11" s="198">
        <v>5359.2010000000046</v>
      </c>
      <c r="G11" s="198">
        <v>933.56163000000004</v>
      </c>
      <c r="H11" s="198">
        <v>22759.68078000001</v>
      </c>
      <c r="I11" s="198">
        <v>481.0918299999999</v>
      </c>
      <c r="J11" s="198">
        <v>3997.7705999999989</v>
      </c>
      <c r="K11" s="198">
        <v>296.07941</v>
      </c>
      <c r="L11" s="198">
        <v>514.83127999999999</v>
      </c>
      <c r="M11" s="198">
        <v>695.86636999999985</v>
      </c>
      <c r="N11" s="198">
        <v>2139.2338999999997</v>
      </c>
      <c r="O11" s="198">
        <v>68341.474009999991</v>
      </c>
      <c r="P11" s="198">
        <v>106026.41037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10.992190000000001</v>
      </c>
      <c r="G12" s="198">
        <v>0</v>
      </c>
      <c r="H12" s="198">
        <v>81096.528930000015</v>
      </c>
      <c r="I12" s="198">
        <v>1.9550000000000001E-2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81146.944340000016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9290</v>
      </c>
      <c r="E13" s="196">
        <v>43.016500000000001</v>
      </c>
      <c r="F13" s="196">
        <v>45543.71084</v>
      </c>
      <c r="G13" s="196">
        <v>6150.6530300000013</v>
      </c>
      <c r="H13" s="196">
        <v>3650.5203499999998</v>
      </c>
      <c r="I13" s="196">
        <v>248648.08932999999</v>
      </c>
      <c r="J13" s="196">
        <v>8479.4266499999994</v>
      </c>
      <c r="K13" s="196">
        <v>11101.43698</v>
      </c>
      <c r="L13" s="196">
        <v>5353.1695200000004</v>
      </c>
      <c r="M13" s="196">
        <v>77.900649999999999</v>
      </c>
      <c r="N13" s="196">
        <v>3910.7434400000002</v>
      </c>
      <c r="O13" s="196">
        <v>3900.2108600000001</v>
      </c>
      <c r="P13" s="196">
        <v>346148.87814999995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9290</v>
      </c>
      <c r="E14" s="200">
        <v>0</v>
      </c>
      <c r="F14" s="200">
        <v>11264.515290000001</v>
      </c>
      <c r="G14" s="200">
        <v>5713.9188300000014</v>
      </c>
      <c r="H14" s="200">
        <v>3500.7475499999996</v>
      </c>
      <c r="I14" s="200">
        <v>246765.41220999998</v>
      </c>
      <c r="J14" s="200">
        <v>0</v>
      </c>
      <c r="K14" s="200">
        <v>3646.8721399999995</v>
      </c>
      <c r="L14" s="200">
        <v>5350.4769900000001</v>
      </c>
      <c r="M14" s="200">
        <v>0</v>
      </c>
      <c r="N14" s="200">
        <v>3256.4125500000005</v>
      </c>
      <c r="O14" s="200">
        <v>3881.6303900000003</v>
      </c>
      <c r="P14" s="200">
        <v>292669.98595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9290</v>
      </c>
      <c r="E16" s="198">
        <v>0</v>
      </c>
      <c r="F16" s="198">
        <v>11264.515290000001</v>
      </c>
      <c r="G16" s="198">
        <v>5713.9188300000014</v>
      </c>
      <c r="H16" s="198">
        <v>3500.7475499999996</v>
      </c>
      <c r="I16" s="198">
        <v>246765.41220999998</v>
      </c>
      <c r="J16" s="198">
        <v>0</v>
      </c>
      <c r="K16" s="198">
        <v>3646.8721399999995</v>
      </c>
      <c r="L16" s="198">
        <v>5350.4769900000001</v>
      </c>
      <c r="M16" s="198">
        <v>0</v>
      </c>
      <c r="N16" s="198">
        <v>3256.4125500000005</v>
      </c>
      <c r="O16" s="198">
        <v>3881.6303900000003</v>
      </c>
      <c r="P16" s="198">
        <v>292669.98595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43.016500000000001</v>
      </c>
      <c r="F19" s="200">
        <v>34279.195549999997</v>
      </c>
      <c r="G19" s="200">
        <v>436.73419999999999</v>
      </c>
      <c r="H19" s="200">
        <v>149.77279999999999</v>
      </c>
      <c r="I19" s="200">
        <v>1882.6771199999998</v>
      </c>
      <c r="J19" s="200">
        <v>8479.4266499999994</v>
      </c>
      <c r="K19" s="200">
        <v>7454.5648400000009</v>
      </c>
      <c r="L19" s="200">
        <v>2.6925300000000001</v>
      </c>
      <c r="M19" s="200">
        <v>77.900649999999999</v>
      </c>
      <c r="N19" s="200">
        <v>654.33088999999995</v>
      </c>
      <c r="O19" s="200">
        <v>18.580469999999998</v>
      </c>
      <c r="P19" s="200">
        <v>53478.892199999995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12028.626519999996</v>
      </c>
      <c r="G20" s="198">
        <v>0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330</v>
      </c>
      <c r="O20" s="198">
        <v>1.234</v>
      </c>
      <c r="P20" s="198">
        <v>12377.610519999997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17914.039669999998</v>
      </c>
      <c r="G22" s="198">
        <v>421.13812999999999</v>
      </c>
      <c r="H22" s="198">
        <v>49.089959999999998</v>
      </c>
      <c r="I22" s="198">
        <v>1859.2211499999999</v>
      </c>
      <c r="J22" s="198">
        <v>8259.8179999999993</v>
      </c>
      <c r="K22" s="198">
        <v>6415.7777800000003</v>
      </c>
      <c r="L22" s="198">
        <v>0</v>
      </c>
      <c r="M22" s="198">
        <v>60</v>
      </c>
      <c r="N22" s="198">
        <v>303.25</v>
      </c>
      <c r="O22" s="198">
        <v>0</v>
      </c>
      <c r="P22" s="198">
        <v>35302.834690000003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4336.5293600000005</v>
      </c>
      <c r="G23" s="198">
        <v>15.596069999999999</v>
      </c>
      <c r="H23" s="198">
        <v>81.625839999999997</v>
      </c>
      <c r="I23" s="198">
        <v>23.455970000000001</v>
      </c>
      <c r="J23" s="198">
        <v>176.79364999999999</v>
      </c>
      <c r="K23" s="198">
        <v>1038.7870600000001</v>
      </c>
      <c r="L23" s="198">
        <v>2.6925300000000001</v>
      </c>
      <c r="M23" s="198">
        <v>17.900649999999999</v>
      </c>
      <c r="N23" s="198">
        <v>21.080890000000004</v>
      </c>
      <c r="O23" s="198">
        <v>17.34647</v>
      </c>
      <c r="P23" s="198">
        <v>5731.8084900000003</v>
      </c>
    </row>
    <row r="24" spans="2:16" hidden="1">
      <c r="B24" s="195"/>
      <c r="C24" s="187">
        <v>0</v>
      </c>
      <c r="D24" s="198">
        <v>0</v>
      </c>
      <c r="E24" s="198">
        <v>22.516500000000001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66.638499999999993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12080.115239999999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57.871699999999997</v>
      </c>
      <c r="N25" s="198">
        <v>0</v>
      </c>
      <c r="O25" s="198">
        <v>0</v>
      </c>
      <c r="P25" s="198">
        <v>13931.906939999999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27.901979999999998</v>
      </c>
      <c r="G26" s="198">
        <v>1.56457</v>
      </c>
      <c r="H26" s="198">
        <v>468.05595</v>
      </c>
      <c r="I26" s="198">
        <v>3.1557399999999998</v>
      </c>
      <c r="J26" s="198">
        <v>3.4301300000000001</v>
      </c>
      <c r="K26" s="198">
        <v>0</v>
      </c>
      <c r="L26" s="198">
        <v>14.74277</v>
      </c>
      <c r="M26" s="198">
        <v>25.786390000000001</v>
      </c>
      <c r="N26" s="198">
        <v>9.6365500000000015</v>
      </c>
      <c r="O26" s="198">
        <v>37.966140000000003</v>
      </c>
      <c r="P26" s="198">
        <v>592.24022000000002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5.2246800000000002</v>
      </c>
      <c r="F27" s="32">
        <v>4582.8231399999995</v>
      </c>
      <c r="G27" s="32">
        <v>11886.840249999999</v>
      </c>
      <c r="H27" s="32">
        <v>4917.2484099999992</v>
      </c>
      <c r="I27" s="32">
        <v>549.78839000000005</v>
      </c>
      <c r="J27" s="32">
        <v>1867.6745199999998</v>
      </c>
      <c r="K27" s="32">
        <v>542.17576000000008</v>
      </c>
      <c r="L27" s="32">
        <v>1189.58573</v>
      </c>
      <c r="M27" s="32">
        <v>572.79977999999994</v>
      </c>
      <c r="N27" s="32">
        <v>4052.0473900000002</v>
      </c>
      <c r="O27" s="32">
        <v>52690.17895999999</v>
      </c>
      <c r="P27" s="32">
        <v>82926.387009999991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5.2246800000000002</v>
      </c>
      <c r="F28" s="198">
        <v>1697.4802199999992</v>
      </c>
      <c r="G28" s="198">
        <v>29.081580000000002</v>
      </c>
      <c r="H28" s="198">
        <v>2772.819019999999</v>
      </c>
      <c r="I28" s="198">
        <v>8.4699599999999986</v>
      </c>
      <c r="J28" s="198">
        <v>1598.9357699999998</v>
      </c>
      <c r="K28" s="198">
        <v>4.9080399999999997</v>
      </c>
      <c r="L28" s="198">
        <v>448.43462</v>
      </c>
      <c r="M28" s="198">
        <v>75.900030000000001</v>
      </c>
      <c r="N28" s="198">
        <v>396.96103999999997</v>
      </c>
      <c r="O28" s="198">
        <v>45953.004579999986</v>
      </c>
      <c r="P28" s="198">
        <v>52991.219539999984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2885.34292</v>
      </c>
      <c r="G29" s="196">
        <v>11857.758669999999</v>
      </c>
      <c r="H29" s="196">
        <v>2144.4293900000002</v>
      </c>
      <c r="I29" s="196">
        <v>541.31843000000003</v>
      </c>
      <c r="J29" s="196">
        <v>268.73874999999998</v>
      </c>
      <c r="K29" s="196">
        <v>537.26772000000005</v>
      </c>
      <c r="L29" s="196">
        <v>741.15111000000002</v>
      </c>
      <c r="M29" s="196">
        <v>496.89974999999998</v>
      </c>
      <c r="N29" s="196">
        <v>3655.08635</v>
      </c>
      <c r="O29" s="196">
        <v>6737.1743800000004</v>
      </c>
      <c r="P29" s="196">
        <v>29935.16747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1238.36283</v>
      </c>
      <c r="G30" s="200">
        <v>11857.758669999999</v>
      </c>
      <c r="H30" s="200">
        <v>2144.4293900000002</v>
      </c>
      <c r="I30" s="200">
        <v>541.31843000000003</v>
      </c>
      <c r="J30" s="200">
        <v>0</v>
      </c>
      <c r="K30" s="200">
        <v>0</v>
      </c>
      <c r="L30" s="200">
        <v>38.069260000000007</v>
      </c>
      <c r="M30" s="200">
        <v>496.89974999999998</v>
      </c>
      <c r="N30" s="200">
        <v>3655.08635</v>
      </c>
      <c r="O30" s="200">
        <v>5403.4998599999999</v>
      </c>
      <c r="P30" s="200">
        <v>25445.42454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3549.1065600000002</v>
      </c>
      <c r="O31" s="198">
        <v>0</v>
      </c>
      <c r="P31" s="198">
        <v>4046.0063100000002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1238.36283</v>
      </c>
      <c r="G32" s="198">
        <v>11857.758669999999</v>
      </c>
      <c r="H32" s="198">
        <v>1405.41894</v>
      </c>
      <c r="I32" s="198">
        <v>541.31843000000003</v>
      </c>
      <c r="J32" s="198">
        <v>0</v>
      </c>
      <c r="K32" s="198">
        <v>0</v>
      </c>
      <c r="L32" s="198">
        <v>38.069260000000007</v>
      </c>
      <c r="M32" s="198">
        <v>0</v>
      </c>
      <c r="N32" s="198">
        <v>105.97979000000002</v>
      </c>
      <c r="O32" s="198">
        <v>5403.4998599999999</v>
      </c>
      <c r="P32" s="198">
        <v>20660.407779999998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739.01044999999999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739.01044999999999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1646.98009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537.26772000000005</v>
      </c>
      <c r="L35" s="200">
        <v>703.08185000000003</v>
      </c>
      <c r="M35" s="200">
        <v>0</v>
      </c>
      <c r="N35" s="200">
        <v>0</v>
      </c>
      <c r="O35" s="200">
        <v>1333.67452</v>
      </c>
      <c r="P35" s="200">
        <v>4489.7429300000003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9360</v>
      </c>
      <c r="E38" s="204">
        <v>1777.40663</v>
      </c>
      <c r="F38" s="204">
        <v>276641.43546999985</v>
      </c>
      <c r="G38" s="204">
        <v>35630.550069999998</v>
      </c>
      <c r="H38" s="204">
        <v>132589.38179000001</v>
      </c>
      <c r="I38" s="204">
        <v>253245.10455999998</v>
      </c>
      <c r="J38" s="204">
        <v>23915.613850000002</v>
      </c>
      <c r="K38" s="204">
        <v>15515.230800000001</v>
      </c>
      <c r="L38" s="204">
        <v>12641.693010000003</v>
      </c>
      <c r="M38" s="204">
        <v>5252.0477499999997</v>
      </c>
      <c r="N38" s="204">
        <v>22114.142609999999</v>
      </c>
      <c r="O38" s="204">
        <v>136130.34406999999</v>
      </c>
      <c r="P38" s="204">
        <v>924812.95060999983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7532.6275400000004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5507.2787400000007</v>
      </c>
      <c r="P40" s="208">
        <v>16831.142830000001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169421.51347999999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169421.51347999999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156951.79047000001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Nota: Estrutura orgânica aprovada pelo Decreto Legislativo Regional n.º 18/2020/M, de 31 de janeiro, em vigor ao abrigo do n.º 1 do artigo 19.º do Decreto Regulamentar Regional n.º 9/2022/M, de 27 de janeiro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Fonte: Secretaria Regional das Finanças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P16" sqref="P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(janeiro-agosto)","TABLE IX - RPEs global balance (january-august)")</f>
        <v>QUADRO IX - Saldo Global do Subsetor - EPR (janeiro-agosto)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-2683.0745000001334</v>
      </c>
      <c r="E5" s="82">
        <v>9079.2542100001883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Fonte: Secretaria Regional das Finanças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(janeiro-agosto)","TABLE X - ASFs and RPEs budget execution (january-august)")</f>
        <v>QUADRO X - Execução orçamental dos Serviços e Fundos Autónomos e EPR (janeiro-agosto)</v>
      </c>
      <c r="D2" s="337"/>
      <c r="E2" s="337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11567.871590000053</v>
      </c>
      <c r="E4" s="98">
        <v>9079.2542100001883</v>
      </c>
      <c r="F4" s="98">
        <v>20647.125800000242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336229.6280599999</v>
      </c>
      <c r="E7" s="74">
        <v>234991.12298999983</v>
      </c>
      <c r="F7" s="74">
        <v>571220.75104999973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11706.054380000054</v>
      </c>
      <c r="E8" s="74">
        <v>13125.660720000189</v>
      </c>
      <c r="F8" s="74">
        <v>24831.715100000241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11195.556400000001</v>
      </c>
      <c r="E9" s="74">
        <v>6264.7400100001832</v>
      </c>
      <c r="F9" s="74">
        <v>17460.296410000185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372.3151900000048</v>
      </c>
      <c r="E10" s="74">
        <v>2814.5142000000051</v>
      </c>
      <c r="F10" s="74">
        <v>3186.8293900000062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Fonte: Secretaria Regional das Finanças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(janeiro-agosto)","TABLE XI - ASFs and RPEs budget execution (january-august)")</f>
        <v>QUADRO XI - Execução orçamental dos Serviços e Fundos Autónomos e EPR (janeiro-agosto)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329301.36846999993</v>
      </c>
      <c r="E4" s="108">
        <v>227477.85817000002</v>
      </c>
      <c r="F4" s="108">
        <v>556779.22664000001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2693.1219299999993</v>
      </c>
      <c r="E8" s="74">
        <v>5898.8223999999991</v>
      </c>
      <c r="F8" s="74">
        <v>8591.9443299999984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323246.68316999992</v>
      </c>
      <c r="E9" s="74">
        <v>197718.16126000002</v>
      </c>
      <c r="F9" s="74">
        <v>520964.84442999994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22538.448019999996</v>
      </c>
      <c r="E10" s="74">
        <v>2004.3679099999999</v>
      </c>
      <c r="F10" s="74">
        <v>24542.815929999997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299643.50130999991</v>
      </c>
      <c r="E11" s="74">
        <v>194957.63713000002</v>
      </c>
      <c r="F11" s="74">
        <v>494601.13843999989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2686.5064199999997</v>
      </c>
      <c r="E12" s="74">
        <v>10404.634669999999</v>
      </c>
      <c r="F12" s="74">
        <v>13091.141089999999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675.0569499999998</v>
      </c>
      <c r="E13" s="74">
        <v>13456.23984</v>
      </c>
      <c r="F13" s="74">
        <v>14131.29679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18634.313969999999</v>
      </c>
      <c r="E14" s="83">
        <v>20638.925539999993</v>
      </c>
      <c r="F14" s="83">
        <v>39273.239509999992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127.49796000000001</v>
      </c>
      <c r="F15" s="34">
        <v>127.49796000000001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18571.025989999998</v>
      </c>
      <c r="E16" s="34">
        <v>20475.136249999992</v>
      </c>
      <c r="F16" s="74">
        <v>39046.162239999991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6671.7699499999999</v>
      </c>
      <c r="E17" s="34">
        <v>11495.536819999998</v>
      </c>
      <c r="F17" s="74">
        <v>18167.306769999996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11899.256039999998</v>
      </c>
      <c r="E18" s="74">
        <v>8979.5994299999948</v>
      </c>
      <c r="F18" s="74">
        <v>20878.855469999995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14.68028</v>
      </c>
      <c r="F19" s="74">
        <v>14.68028</v>
      </c>
    </row>
    <row r="20" spans="2:6" ht="11.25" customHeight="1">
      <c r="C20" s="110" t="str">
        <f>+IF(Índice!$D$2=1,"Receita efetiva","Effective revenue")</f>
        <v>Receita efetiva</v>
      </c>
      <c r="D20" s="83">
        <v>347935.68243999995</v>
      </c>
      <c r="E20" s="83">
        <v>248116.78371000002</v>
      </c>
      <c r="F20" s="83">
        <v>596052.46614999999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318105.81206999993</v>
      </c>
      <c r="E22" s="83">
        <v>221213.11815999984</v>
      </c>
      <c r="F22" s="83">
        <v>539318.93022999982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33185.310149999998</v>
      </c>
      <c r="E23" s="74">
        <v>157738.77427999981</v>
      </c>
      <c r="F23" s="74">
        <v>190924.08442999981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70275.212069999936</v>
      </c>
      <c r="E24" s="74">
        <v>49282.22305000003</v>
      </c>
      <c r="F24" s="74">
        <v>119557.43511999997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138.18279000000001</v>
      </c>
      <c r="E25" s="74">
        <v>4046.4065099999998</v>
      </c>
      <c r="F25" s="74">
        <v>4184.5892999999996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210886.66854000004</v>
      </c>
      <c r="E26" s="74">
        <v>8683.7248400000044</v>
      </c>
      <c r="F26" s="74">
        <v>219570.39338000005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1538.3665600000002</v>
      </c>
      <c r="E27" s="74">
        <v>0</v>
      </c>
      <c r="F27" s="59">
        <v>1538.3665600000002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209348.30198000005</v>
      </c>
      <c r="E28" s="74">
        <v>8683.7248400000044</v>
      </c>
      <c r="F28" s="59">
        <v>218032.02682000006</v>
      </c>
    </row>
    <row r="29" spans="2:6" ht="11.25" customHeight="1">
      <c r="C29" s="104" t="str">
        <f>+IF(Índice!$D$2=1,"Subsídios","Subsidies")</f>
        <v>Subsídios</v>
      </c>
      <c r="D29" s="74">
        <v>3506.1269699999998</v>
      </c>
      <c r="E29" s="74">
        <v>0.80500000000000005</v>
      </c>
      <c r="F29" s="74">
        <v>3506.9319699999996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114.31155</v>
      </c>
      <c r="E30" s="74">
        <v>1461.1844800000001</v>
      </c>
      <c r="F30" s="74">
        <v>1575.49603</v>
      </c>
    </row>
    <row r="31" spans="2:6" ht="11.25" customHeight="1">
      <c r="C31" s="110" t="str">
        <f>+IF(Índice!$D$2=1,"Despesa de capital","Capital expenditure")</f>
        <v>Despesa de capital</v>
      </c>
      <c r="D31" s="83">
        <v>18261.998779999994</v>
      </c>
      <c r="E31" s="83">
        <v>17824.411339999988</v>
      </c>
      <c r="F31" s="83">
        <v>36086.410119999986</v>
      </c>
    </row>
    <row r="32" spans="2:6" ht="11.25" customHeight="1">
      <c r="C32" s="104" t="str">
        <f>+IF(Índice!$D$2=1,"Investimento","Investment")</f>
        <v>Investimento</v>
      </c>
      <c r="D32" s="74">
        <v>2323.6507499999998</v>
      </c>
      <c r="E32" s="74">
        <v>17767.198019999989</v>
      </c>
      <c r="F32" s="74">
        <v>20090.84876999999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15930.092419999995</v>
      </c>
      <c r="E33" s="74">
        <v>57.213320000000003</v>
      </c>
      <c r="F33" s="74">
        <v>15987.305739999996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336367.81084999989</v>
      </c>
      <c r="E36" s="83">
        <v>239037.52949999983</v>
      </c>
      <c r="F36" s="83">
        <v>575405.34034999972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4254.4272300000002</v>
      </c>
      <c r="E38" s="35">
        <v>800.64082999999982</v>
      </c>
      <c r="F38" s="35">
        <v>5055.0680599999996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11110.608900000001</v>
      </c>
      <c r="F39" s="35">
        <v>11110.608900000001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11567.871590000053</v>
      </c>
      <c r="E44" s="114">
        <v>9079.2542100001883</v>
      </c>
      <c r="F44" s="114">
        <v>20647.125800000242</v>
      </c>
    </row>
    <row r="45" spans="3:6" ht="15" customHeight="1">
      <c r="C45" s="335" t="str">
        <f>+IF(Índice!$D$2=1,"Fonte: Secretaria Regional das Finanças","Source: Regional Finance Secretariat")</f>
        <v>Fonte: Secretaria Regional das Finanças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P16" sqref="P16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(agosto)","TABLE XII - ASFs and RPEs budget execution (august)")</f>
        <v>QUADRO XII - Execução orçamental dos Serviços e Fundos Autónomos e EPR (agosto)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+IF(Índice!$D$2=1,"agosto 2023","august 2023")</f>
        <v>agosto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41180.021279999833</v>
      </c>
      <c r="E5" s="317">
        <v>23553.805349999977</v>
      </c>
      <c r="F5" s="317">
        <v>64733.826629999807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41180.021279999833</v>
      </c>
      <c r="E9" s="74">
        <v>23553.805349999977</v>
      </c>
      <c r="F9" s="74">
        <v>64733.826629999807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40570.47203999984</v>
      </c>
      <c r="E10" s="74">
        <v>21086.536369999976</v>
      </c>
      <c r="F10" s="74">
        <v>61657.00840999982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312.55782999999701</v>
      </c>
      <c r="E11" s="83">
        <v>3238.0446199999919</v>
      </c>
      <c r="F11" s="83">
        <v>3550.6024499999889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92.464320000000001</v>
      </c>
      <c r="F12" s="34">
        <v>92.464320000000001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312.45954999999702</v>
      </c>
      <c r="E13" s="34">
        <v>3139.6212699999919</v>
      </c>
      <c r="F13" s="74">
        <v>3452.0808199999888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41492.579109999831</v>
      </c>
      <c r="E15" s="83">
        <v>26791.84996999997</v>
      </c>
      <c r="F15" s="83">
        <v>68284.429079999798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38418.26530000013</v>
      </c>
      <c r="E17" s="83">
        <v>21917.079599999863</v>
      </c>
      <c r="F17" s="83">
        <v>60335.344899999996</v>
      </c>
    </row>
    <row r="18" spans="3:6" ht="11.25" customHeight="1">
      <c r="C18" s="104" t="str">
        <f>+IF(Índice!$D$2=1,"Consumo público","Public consumption")</f>
        <v>Consumo público</v>
      </c>
      <c r="D18" s="74">
        <v>15393.501480000019</v>
      </c>
      <c r="E18" s="74">
        <v>20779.419989999857</v>
      </c>
      <c r="F18" s="74">
        <v>36172.921469999877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4015.2713400000221</v>
      </c>
      <c r="E19" s="74">
        <v>19040.336469999878</v>
      </c>
      <c r="F19" s="74">
        <v>23055.607809999899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11378.230139999998</v>
      </c>
      <c r="E20" s="74">
        <v>1739.0835199999797</v>
      </c>
      <c r="F20" s="74">
        <v>13117.313659999978</v>
      </c>
    </row>
    <row r="21" spans="3:6" ht="11.25" customHeight="1">
      <c r="C21" s="104" t="str">
        <f>+IF(Índice!$D$2=1,"Subsídios","Subsidies")</f>
        <v>Subsídios</v>
      </c>
      <c r="D21" s="74">
        <v>335.78841999999992</v>
      </c>
      <c r="E21" s="74">
        <v>0</v>
      </c>
      <c r="F21" s="74">
        <v>335.78841999999992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2.2185199999999896</v>
      </c>
      <c r="E22" s="74">
        <v>30.510629999998958</v>
      </c>
      <c r="F22" s="59">
        <v>32.729149999998945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22686.756880000114</v>
      </c>
      <c r="E23" s="74">
        <v>1107.1489800000043</v>
      </c>
      <c r="F23" s="59">
        <v>23793.905860000119</v>
      </c>
    </row>
    <row r="24" spans="3:6" ht="11.25" customHeight="1">
      <c r="C24" s="110" t="str">
        <f>+IF(Índice!$D$2=1,"Despesa de capital","Capital expenditure")</f>
        <v>Despesa de capital</v>
      </c>
      <c r="D24" s="83">
        <v>788.99038999999925</v>
      </c>
      <c r="E24" s="83">
        <v>2162.1027099999901</v>
      </c>
      <c r="F24" s="83">
        <v>2951.0930999999891</v>
      </c>
    </row>
    <row r="25" spans="3:6" ht="11.25" customHeight="1">
      <c r="C25" s="104" t="str">
        <f>+IF(Índice!$D$2=1,"Investimento","Investment")</f>
        <v>Investimento</v>
      </c>
      <c r="D25" s="74">
        <v>61.358930000000164</v>
      </c>
      <c r="E25" s="74">
        <v>2105.3989299999903</v>
      </c>
      <c r="F25" s="74">
        <v>2166.7578599999906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727.63145999999904</v>
      </c>
      <c r="E26" s="74">
        <v>56.703780000000002</v>
      </c>
      <c r="F26" s="74">
        <v>784.33523999999909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39207.255690000129</v>
      </c>
      <c r="E29" s="83">
        <v>24079.182309999851</v>
      </c>
      <c r="F29" s="83">
        <v>63286.43799999998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2285.3234199997023</v>
      </c>
      <c r="E31" s="319">
        <v>2712.6676600001192</v>
      </c>
      <c r="F31" s="319">
        <v>4997.9910799998215</v>
      </c>
    </row>
    <row r="32" spans="3:6" ht="15" customHeight="1">
      <c r="C32" s="335" t="str">
        <f>+IF(Índice!$D$2=1,"Fonte: Secretaria Regional das Finanças","Source: Regional Finance Secretariat")</f>
        <v>Fonte: Secretaria Regional das Finanças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P16" sqref="P16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agosto de 2023 (valores acumulados)","Table XIII- Accounts payable of the Regional Administration, august (accumulated)")</f>
        <v>QUADRO XIII - Contas a pagar, da Administração Regional, no final de agosto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8" t="s">
        <v>26</v>
      </c>
      <c r="D3" s="339" t="str">
        <f>+IF(Índice!$D$2=1,"agosto 2023","august 2023")</f>
        <v>agosto 2023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Variação face ao stock inicial de janeiro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Stock final do período</v>
      </c>
      <c r="E4" s="342"/>
      <c r="F4" s="342"/>
      <c r="G4" s="343" t="str">
        <f>+IF(Índice!$D$2=1,"Passivo","Liabilities")</f>
        <v>Passivo</v>
      </c>
      <c r="H4" s="343" t="str">
        <f>+IF(Índice!$D$2=1,"Contas a pagar","Accounts payable")</f>
        <v>Contas a pagar</v>
      </c>
      <c r="I4" s="345" t="str">
        <f>+IF(Índice!$D$2=1,"Pagamentos em atraso","Late payments")</f>
        <v>Pagamentos em atraso</v>
      </c>
    </row>
    <row r="5" spans="2:11" ht="22.5">
      <c r="B5" s="29"/>
      <c r="C5" s="338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4"/>
      <c r="H5" s="344"/>
      <c r="I5" s="346"/>
    </row>
    <row r="6" spans="2:11">
      <c r="B6" s="29"/>
      <c r="C6" s="119" t="str">
        <f>+IF(Índice!$D$2=1,"Despesa corrente","Current expenditure")</f>
        <v>Despesa corrente</v>
      </c>
      <c r="D6" s="162">
        <v>112871230.22999993</v>
      </c>
      <c r="E6" s="162">
        <v>99816773.999999911</v>
      </c>
      <c r="F6" s="162">
        <v>25213631.660000037</v>
      </c>
      <c r="G6" s="91">
        <v>-2.022384950944256E-2</v>
      </c>
      <c r="H6" s="91">
        <v>-5.7524790835345452E-2</v>
      </c>
      <c r="I6" s="116">
        <v>0.62450486484559198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7844818.4099999983</v>
      </c>
      <c r="E7" s="165">
        <v>7122860.6999999983</v>
      </c>
      <c r="F7" s="165">
        <v>1216.8499999999999</v>
      </c>
      <c r="G7" s="95">
        <v>6.4048984296268037</v>
      </c>
      <c r="H7" s="95">
        <v>12.721747947154189</v>
      </c>
      <c r="I7" s="121">
        <v>-0.86224303234008537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71988900.019999906</v>
      </c>
      <c r="E8" s="165">
        <v>71372535.569999903</v>
      </c>
      <c r="F8" s="165">
        <v>23548560.270000037</v>
      </c>
      <c r="G8" s="95">
        <v>0.11539685696486113</v>
      </c>
      <c r="H8" s="95">
        <v>0.1198255397388126</v>
      </c>
      <c r="I8" s="121">
        <v>0.57079430965724143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14403364.190000001</v>
      </c>
      <c r="E9" s="165">
        <v>8046079.5000000009</v>
      </c>
      <c r="F9" s="165">
        <v>404200.89000000007</v>
      </c>
      <c r="G9" s="95">
        <v>0.295706848997904</v>
      </c>
      <c r="H9" s="95">
        <v>0.68348122299145375</v>
      </c>
      <c r="I9" s="121">
        <v>8.6236245382431242E-2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16798560.73</v>
      </c>
      <c r="E10" s="165">
        <v>11443669.85</v>
      </c>
      <c r="F10" s="165">
        <v>1259144.43</v>
      </c>
      <c r="G10" s="95">
        <v>-0.55962016770287604</v>
      </c>
      <c r="H10" s="95">
        <v>-0.68684466210991979</v>
      </c>
      <c r="I10" s="121">
        <v>7.4872514064876547</v>
      </c>
    </row>
    <row r="11" spans="2:11">
      <c r="B11" s="29"/>
      <c r="C11" s="120" t="str">
        <f>+IF(Índice!$D$2=1,"Subsídios","Subsidies")</f>
        <v>Subsídios</v>
      </c>
      <c r="D11" s="165">
        <v>1750452.5699999998</v>
      </c>
      <c r="E11" s="165">
        <v>1750452.5699999998</v>
      </c>
      <c r="F11" s="165">
        <v>0</v>
      </c>
      <c r="G11" s="95">
        <v>4.5565652239870698</v>
      </c>
      <c r="H11" s="95">
        <v>4.5565652239870698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85134.31</v>
      </c>
      <c r="E12" s="165">
        <v>81175.81</v>
      </c>
      <c r="F12" s="165">
        <v>509.22</v>
      </c>
      <c r="G12" s="95">
        <v>2.5918633836230631</v>
      </c>
      <c r="H12" s="95">
        <v>3.7429185587514224</v>
      </c>
      <c r="I12" s="121">
        <v>49.922000000000004</v>
      </c>
    </row>
    <row r="13" spans="2:11">
      <c r="B13" s="29"/>
      <c r="C13" s="115" t="str">
        <f>+IF(Índice!$D$2=1,"Despesa de capital","Capital expenditure")</f>
        <v>Despesa de capital</v>
      </c>
      <c r="D13" s="163">
        <v>52330570.330000006</v>
      </c>
      <c r="E13" s="163">
        <v>35282493.229999997</v>
      </c>
      <c r="F13" s="163">
        <v>30298.589999999997</v>
      </c>
      <c r="G13" s="92">
        <v>3.4991059998730201E-2</v>
      </c>
      <c r="H13" s="92">
        <v>2.7767658208641244E-2</v>
      </c>
      <c r="I13" s="117">
        <v>-0.96623262387040643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29205909.730000004</v>
      </c>
      <c r="E14" s="165">
        <v>18927947.789999999</v>
      </c>
      <c r="F14" s="165">
        <v>30298.589999999997</v>
      </c>
      <c r="G14" s="95">
        <v>-2.0248588626258335E-2</v>
      </c>
      <c r="H14" s="95">
        <v>-5.2407297165197542E-2</v>
      </c>
      <c r="I14" s="121">
        <v>-0.96623262387040643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23124660.600000001</v>
      </c>
      <c r="E15" s="165">
        <v>16354545.439999999</v>
      </c>
      <c r="F15" s="165">
        <v>0</v>
      </c>
      <c r="G15" s="95">
        <v>0.11434137139953249</v>
      </c>
      <c r="H15" s="95">
        <v>0.13933398164016642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165201800.55999991</v>
      </c>
      <c r="E17" s="164">
        <v>135099267.2299999</v>
      </c>
      <c r="F17" s="164">
        <v>25243930.250000037</v>
      </c>
      <c r="G17" s="147">
        <v>-3.3820235843778912E-3</v>
      </c>
      <c r="H17" s="147">
        <v>-3.6645878505513374E-2</v>
      </c>
      <c r="I17" s="148">
        <v>0.53756856746251636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114483938.66000003</v>
      </c>
      <c r="E19" s="164">
        <v>84504068.360000014</v>
      </c>
      <c r="F19" s="164">
        <v>3516939.6599999983</v>
      </c>
      <c r="G19" s="147">
        <v>-5.5617400300165376E-2</v>
      </c>
      <c r="H19" s="147">
        <v>-0.11712572409578426</v>
      </c>
      <c r="I19" s="148">
        <v>0.59321279703882634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agosto de 2023 (valores acumulados)","Table XIV - Accounts payable of the Regional Gov., august (accumulated)")</f>
        <v>QUADRO XIV - Contas a pagar, do Governo Regional, no final de agosto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8" t="str">
        <f>+IF(Índice!$D$2=1,"Governo Regional","Regional Government")</f>
        <v>Governo Regional</v>
      </c>
      <c r="D24" s="339" t="str">
        <f>+IF(Índice!$D$2=1,"agosto 2023","august 2023")</f>
        <v>agosto 2023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Variação face ao stock inicial de janeiro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Stock final do período</v>
      </c>
      <c r="E25" s="342"/>
      <c r="F25" s="342"/>
      <c r="G25" s="343" t="str">
        <f>+IF(Índice!$D$2=1,"Passivo","Liabilities")</f>
        <v>Passivo</v>
      </c>
      <c r="H25" s="343" t="str">
        <f>+IF(Índice!$D$2=1,"Contas a pagar","Accounts payable")</f>
        <v>Contas a pagar</v>
      </c>
      <c r="I25" s="345" t="str">
        <f>+IF(Índice!$D$2=1,"Pagamentos em atraso","Late payments")</f>
        <v>Pagamentos em atraso</v>
      </c>
    </row>
    <row r="26" spans="2:9" ht="22.5">
      <c r="B26" s="29"/>
      <c r="C26" s="338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32833277.699999999</v>
      </c>
      <c r="E27" s="162">
        <v>24600078.219999995</v>
      </c>
      <c r="F27" s="162">
        <v>1069532.1299999999</v>
      </c>
      <c r="G27" s="91">
        <v>1.8351702973944923</v>
      </c>
      <c r="H27" s="91">
        <v>2.4166023605583415</v>
      </c>
      <c r="I27" s="116">
        <v>-4.2037705427588556E-2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38912198.440000005</v>
      </c>
      <c r="E28" s="163">
        <v>30670955.619999997</v>
      </c>
      <c r="F28" s="163">
        <v>630</v>
      </c>
      <c r="G28" s="92">
        <v>1.455379011169966E-2</v>
      </c>
      <c r="H28" s="172">
        <v>-5.449519660590596E-3</v>
      </c>
      <c r="I28" s="117">
        <v>0</v>
      </c>
    </row>
    <row r="29" spans="2:9" ht="20.100000000000001" customHeight="1">
      <c r="B29" s="29"/>
      <c r="C29" s="146" t="s">
        <v>26</v>
      </c>
      <c r="D29" s="164">
        <v>71745476.140000001</v>
      </c>
      <c r="E29" s="164">
        <v>55271033.839999989</v>
      </c>
      <c r="F29" s="164">
        <v>1070162.1299999999</v>
      </c>
      <c r="G29" s="147">
        <v>0.43678568444331733</v>
      </c>
      <c r="H29" s="147">
        <v>0.45300307989039501</v>
      </c>
      <c r="I29" s="148">
        <v>-4.201399774320147E-2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2023 (valores acumulados)","Table XV - Accounts payable of the ASFs, august (accumulated)")</f>
        <v>QUADRO XV - Contas a pagar, dos Serviços e Fundos Autónomos, no final de agosto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7" t="str">
        <f>+IF(Índice!$D$2=1,"Serviços e Fundos Autónomos","Autonomous Services and Funds")</f>
        <v>Serviços e Fundos Autónomos</v>
      </c>
      <c r="D33" s="339" t="str">
        <f>+IF(Índice!$D$2=1,"agosto 2023","august 2023")</f>
        <v>agosto 2023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Variação face ao stock inicial de janeiro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Stock final do período</v>
      </c>
      <c r="E34" s="351"/>
      <c r="F34" s="352"/>
      <c r="G34" s="353" t="str">
        <f>+IF(Índice!$D$2=1,"Passivo","Liabilities")</f>
        <v>Passivo</v>
      </c>
      <c r="H34" s="353" t="str">
        <f>+IF(Índice!$D$2=1,"Contas a pagar","Accounts payable")</f>
        <v>Contas a pagar</v>
      </c>
      <c r="I34" s="345" t="str">
        <f>+IF(Índice!$D$2=1,"Pagamentos em atraso","Late payments")</f>
        <v>Pagamentos em atraso</v>
      </c>
    </row>
    <row r="35" spans="2:9" ht="22.5">
      <c r="C35" s="349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Despesa corrente</v>
      </c>
      <c r="D36" s="162">
        <v>23819081.560000002</v>
      </c>
      <c r="E36" s="162">
        <v>23285000.240000002</v>
      </c>
      <c r="F36" s="162">
        <v>2446777.5300000003</v>
      </c>
      <c r="G36" s="91">
        <v>-0.55479087002440175</v>
      </c>
      <c r="H36" s="91">
        <v>-0.55947081561393297</v>
      </c>
      <c r="I36" s="116">
        <v>1.2440181276288507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189285.14</v>
      </c>
      <c r="E37" s="163">
        <v>189285.14</v>
      </c>
      <c r="F37" s="163">
        <v>0</v>
      </c>
      <c r="G37" s="92">
        <v>-0.57851723637996666</v>
      </c>
      <c r="H37" s="92">
        <v>-0.57851723637996666</v>
      </c>
      <c r="I37" s="117">
        <v>0</v>
      </c>
    </row>
    <row r="38" spans="2:9" ht="20.100000000000001" customHeight="1">
      <c r="C38" s="146" t="s">
        <v>26</v>
      </c>
      <c r="D38" s="164">
        <v>24008366.700000003</v>
      </c>
      <c r="E38" s="164">
        <v>23474285.380000003</v>
      </c>
      <c r="F38" s="164">
        <v>2446777.5300000003</v>
      </c>
      <c r="G38" s="147">
        <v>-0.55498837437860304</v>
      </c>
      <c r="H38" s="147">
        <v>-0.55963127833791215</v>
      </c>
      <c r="I38" s="148">
        <v>1.2440181276288507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2023 (valores acumulados)","Table XVI - Accounts payable of the RPEs, august (accumulated)")</f>
        <v>QUADRO XVI - Contas a pagar, das Entidades Públicas Reclassseicadas, no final de agosto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7" t="str">
        <f>+IF(Índice!$D$2=1,"Entidades Públicas Reclassseicadas","Reclassseied Public Entities")</f>
        <v>Entidades Públicas Reclassseicadas</v>
      </c>
      <c r="D42" s="339" t="str">
        <f>+IF(Índice!$D$2=1,"agosto 2023","august 2023")</f>
        <v>agosto 2023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Variação face ao stock inicial de janeiro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Stock final do período</v>
      </c>
      <c r="E43" s="351"/>
      <c r="F43" s="352"/>
      <c r="G43" s="343" t="str">
        <f>+IF(Índice!$D$2=1,"Passivo","Liabilities")</f>
        <v>Passivo</v>
      </c>
      <c r="H43" s="343" t="str">
        <f>+IF(Índice!$D$2=1,"Contas a pagar","Accounts payable")</f>
        <v>Contas a pagar</v>
      </c>
      <c r="I43" s="345" t="str">
        <f>+IF(Índice!$D$2=1,"Pagamentos em atraso","Late payments")</f>
        <v>Pagamentos em atraso</v>
      </c>
    </row>
    <row r="44" spans="2:9" ht="22.5">
      <c r="C44" s="349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Despesa corrente</v>
      </c>
      <c r="D45" s="162">
        <v>56218870.969999917</v>
      </c>
      <c r="E45" s="162">
        <v>51931695.539999917</v>
      </c>
      <c r="F45" s="162">
        <v>21697322.000000037</v>
      </c>
      <c r="G45" s="91">
        <v>0.12169772145681645</v>
      </c>
      <c r="H45" s="91">
        <v>0.13259058321901884</v>
      </c>
      <c r="I45" s="116">
        <v>0.62966352002116133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13229086.75</v>
      </c>
      <c r="E46" s="163">
        <v>4422252.4700000007</v>
      </c>
      <c r="F46" s="163">
        <v>29668.589999999997</v>
      </c>
      <c r="G46" s="92">
        <v>0.1250870416533969</v>
      </c>
      <c r="H46" s="92">
        <v>0.45414134488649704</v>
      </c>
      <c r="I46" s="117">
        <v>-0.96691151819845922</v>
      </c>
    </row>
    <row r="47" spans="2:9" ht="20.100000000000001" customHeight="1">
      <c r="C47" s="146" t="s">
        <v>26</v>
      </c>
      <c r="D47" s="164">
        <v>69447957.719999909</v>
      </c>
      <c r="E47" s="164">
        <v>56353948.009999916</v>
      </c>
      <c r="F47" s="164">
        <v>21726990.590000037</v>
      </c>
      <c r="G47" s="147">
        <v>0.12234177502498533</v>
      </c>
      <c r="H47" s="147">
        <v>0.15259091959520044</v>
      </c>
      <c r="I47" s="148">
        <v>0.5289249041210744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0"/>
  <sheetViews>
    <sheetView showGridLines="0" topLeftCell="A74" zoomScale="85" zoomScaleNormal="85" workbookViewId="0">
      <selection activeCell="J100" sqref="J10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91</v>
      </c>
      <c r="D2" s="174"/>
      <c r="E2" s="178" t="str">
        <f>+IF(Índice!$D$2=1,"índice","Index")</f>
        <v>índice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40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99</v>
      </c>
      <c r="D11" s="170"/>
      <c r="E11" s="169"/>
    </row>
    <row r="12" spans="2:5">
      <c r="B12" s="195"/>
      <c r="C12" s="170" t="s">
        <v>54</v>
      </c>
      <c r="D12" s="170"/>
      <c r="E12" s="169"/>
    </row>
    <row r="13" spans="2:5">
      <c r="B13" s="195"/>
      <c r="C13" s="170" t="s">
        <v>47</v>
      </c>
      <c r="D13" s="170"/>
      <c r="E13" s="169"/>
    </row>
    <row r="14" spans="2:5">
      <c r="B14" s="195"/>
      <c r="C14" s="170" t="s">
        <v>72</v>
      </c>
      <c r="D14" s="170"/>
      <c r="E14" s="169"/>
    </row>
    <row r="15" spans="2:5">
      <c r="B15" s="195"/>
      <c r="C15" s="170" t="s">
        <v>11</v>
      </c>
      <c r="D15" s="170"/>
      <c r="E15" s="169"/>
    </row>
    <row r="16" spans="2:5">
      <c r="B16" s="195"/>
      <c r="C16" s="170" t="s">
        <v>48</v>
      </c>
      <c r="D16" s="170"/>
      <c r="E16" s="169"/>
    </row>
    <row r="17" spans="2:5">
      <c r="B17" s="195"/>
      <c r="C17" s="170" t="s">
        <v>41</v>
      </c>
      <c r="D17" s="171"/>
      <c r="E17" s="169"/>
    </row>
    <row r="18" spans="2:5">
      <c r="B18" s="195"/>
      <c r="C18" s="170" t="s">
        <v>64</v>
      </c>
      <c r="D18" s="170"/>
      <c r="E18" s="169"/>
    </row>
    <row r="19" spans="2:5">
      <c r="B19" s="195"/>
      <c r="C19" s="170" t="s">
        <v>57</v>
      </c>
      <c r="D19" s="170"/>
      <c r="E19" s="169"/>
    </row>
    <row r="20" spans="2:5">
      <c r="B20" s="195"/>
      <c r="C20" s="170" t="s">
        <v>8</v>
      </c>
      <c r="D20" s="170"/>
      <c r="E20" s="169"/>
    </row>
    <row r="21" spans="2:5">
      <c r="B21" s="195"/>
      <c r="C21" s="170" t="s">
        <v>55</v>
      </c>
      <c r="D21" s="170"/>
      <c r="E21" s="169"/>
    </row>
    <row r="22" spans="2:5">
      <c r="B22" s="195"/>
      <c r="C22" s="170" t="s">
        <v>56</v>
      </c>
      <c r="D22" s="170"/>
      <c r="E22" s="169"/>
    </row>
    <row r="23" spans="2:5">
      <c r="B23" s="195"/>
      <c r="C23" s="170" t="s">
        <v>33</v>
      </c>
      <c r="D23" s="170"/>
      <c r="E23" s="169"/>
    </row>
    <row r="24" spans="2:5">
      <c r="B24" s="195"/>
      <c r="C24" s="170" t="s">
        <v>49</v>
      </c>
      <c r="D24" s="170"/>
      <c r="E24" s="169"/>
    </row>
    <row r="25" spans="2:5">
      <c r="B25" s="195"/>
      <c r="C25" s="170" t="s">
        <v>50</v>
      </c>
      <c r="D25" s="170"/>
      <c r="E25" s="169"/>
    </row>
    <row r="26" spans="2:5">
      <c r="B26" s="195"/>
      <c r="C26" s="170" t="s">
        <v>34</v>
      </c>
      <c r="D26" s="170"/>
      <c r="E26" s="169"/>
    </row>
    <row r="27" spans="2:5">
      <c r="B27" s="195"/>
      <c r="C27" s="170" t="s">
        <v>51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60</v>
      </c>
      <c r="D29" s="170"/>
      <c r="E29" s="169"/>
    </row>
    <row r="30" spans="2:5">
      <c r="B30" s="55"/>
      <c r="C30" s="170" t="s">
        <v>42</v>
      </c>
      <c r="D30" s="170"/>
      <c r="E30" s="169"/>
    </row>
    <row r="31" spans="2:5">
      <c r="B31" s="55"/>
      <c r="C31" s="170" t="s">
        <v>43</v>
      </c>
      <c r="D31" s="170"/>
      <c r="E31" s="169"/>
    </row>
    <row r="32" spans="2:5">
      <c r="B32" s="55"/>
      <c r="C32" s="170" t="s">
        <v>35</v>
      </c>
      <c r="D32" s="170"/>
      <c r="E32" s="169"/>
    </row>
    <row r="33" spans="2:5">
      <c r="B33" s="55"/>
      <c r="C33" s="170" t="s">
        <v>44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61</v>
      </c>
      <c r="D35" s="170"/>
      <c r="E35" s="169"/>
    </row>
    <row r="36" spans="2:5">
      <c r="B36" s="55"/>
      <c r="C36" s="170" t="s">
        <v>73</v>
      </c>
      <c r="D36" s="170"/>
      <c r="E36" s="169"/>
    </row>
    <row r="37" spans="2:5">
      <c r="B37" s="55"/>
      <c r="C37" s="170" t="s">
        <v>63</v>
      </c>
      <c r="D37" s="170"/>
      <c r="E37" s="169"/>
    </row>
    <row r="38" spans="2:5">
      <c r="B38" s="55"/>
      <c r="C38" s="170" t="s">
        <v>88</v>
      </c>
      <c r="D38" s="170"/>
      <c r="E38" s="169"/>
    </row>
    <row r="39" spans="2:5">
      <c r="B39" s="55"/>
      <c r="C39" s="171" t="s">
        <v>32</v>
      </c>
      <c r="D39" s="170"/>
      <c r="E39" s="169"/>
    </row>
    <row r="40" spans="2:5">
      <c r="B40" s="55"/>
      <c r="C40" s="170" t="s">
        <v>53</v>
      </c>
      <c r="D40" s="170"/>
      <c r="E40" s="169"/>
    </row>
    <row r="41" spans="2:5">
      <c r="B41" s="55"/>
      <c r="C41" s="170" t="s">
        <v>9</v>
      </c>
      <c r="D41" s="170"/>
      <c r="E41" s="169"/>
    </row>
    <row r="42" spans="2:5">
      <c r="B42" s="55"/>
      <c r="C42" s="170" t="s">
        <v>59</v>
      </c>
      <c r="D42" s="170"/>
      <c r="E42" s="169"/>
    </row>
    <row r="43" spans="2:5">
      <c r="B43" s="55"/>
      <c r="C43" s="171" t="s">
        <v>84</v>
      </c>
      <c r="D43" s="171"/>
      <c r="E43" s="169"/>
    </row>
    <row r="44" spans="2:5">
      <c r="B44" s="55"/>
      <c r="C44" s="170" t="s">
        <v>31</v>
      </c>
      <c r="D44" s="170"/>
      <c r="E44" s="169"/>
    </row>
    <row r="45" spans="2:5">
      <c r="B45" s="55"/>
      <c r="C45" s="170" t="s">
        <v>38</v>
      </c>
      <c r="D45" s="171"/>
      <c r="E45" s="169"/>
    </row>
    <row r="46" spans="2:5">
      <c r="B46" s="55"/>
      <c r="C46" s="170" t="s">
        <v>5</v>
      </c>
      <c r="D46" s="170"/>
      <c r="E46" s="169"/>
    </row>
    <row r="47" spans="2:5">
      <c r="B47" s="55"/>
      <c r="C47" s="170" t="s">
        <v>79</v>
      </c>
      <c r="D47" s="170"/>
      <c r="E47" s="169"/>
    </row>
    <row r="48" spans="2:5">
      <c r="B48" s="55"/>
      <c r="C48" s="170" t="s">
        <v>102</v>
      </c>
      <c r="D48" s="170"/>
      <c r="E48" s="169"/>
    </row>
    <row r="49" spans="2:5">
      <c r="B49" s="55"/>
      <c r="C49" s="170" t="s">
        <v>39</v>
      </c>
      <c r="D49" s="170"/>
      <c r="E49" s="169"/>
    </row>
    <row r="50" spans="2:5">
      <c r="B50" s="55"/>
      <c r="C50" s="170" t="s">
        <v>80</v>
      </c>
      <c r="D50" s="171"/>
      <c r="E50" s="169"/>
    </row>
    <row r="51" spans="2:5">
      <c r="B51" s="55"/>
      <c r="C51" s="171" t="s">
        <v>19</v>
      </c>
      <c r="D51" s="170"/>
      <c r="E51" s="169"/>
    </row>
    <row r="52" spans="2:5">
      <c r="B52" s="55"/>
      <c r="C52" s="170" t="s">
        <v>85</v>
      </c>
      <c r="D52" s="170"/>
      <c r="E52" s="169"/>
    </row>
    <row r="53" spans="2:5">
      <c r="B53" s="55"/>
      <c r="C53" s="171" t="s">
        <v>18</v>
      </c>
      <c r="D53" s="170"/>
      <c r="E53" s="169"/>
    </row>
    <row r="54" spans="2:5">
      <c r="B54" s="55"/>
      <c r="C54" s="170" t="s">
        <v>93</v>
      </c>
      <c r="D54" s="171"/>
      <c r="E54" s="169"/>
    </row>
    <row r="55" spans="2:5">
      <c r="B55" s="55"/>
      <c r="C55" s="170" t="s">
        <v>96</v>
      </c>
    </row>
    <row r="56" spans="2:5">
      <c r="B56" s="55"/>
      <c r="C56" s="170" t="s">
        <v>90</v>
      </c>
    </row>
    <row r="57" spans="2:5">
      <c r="B57" s="55"/>
      <c r="C57" s="170" t="s">
        <v>81</v>
      </c>
    </row>
    <row r="58" spans="2:5">
      <c r="B58" s="55"/>
      <c r="C58" s="171" t="s">
        <v>16</v>
      </c>
    </row>
    <row r="59" spans="2:5">
      <c r="B59" s="55"/>
      <c r="C59" s="170" t="s">
        <v>104</v>
      </c>
    </row>
    <row r="60" spans="2:5">
      <c r="B60" s="55"/>
      <c r="C60" s="170" t="s">
        <v>97</v>
      </c>
    </row>
    <row r="61" spans="2:5">
      <c r="B61" s="55"/>
      <c r="C61" s="170" t="s">
        <v>92</v>
      </c>
    </row>
    <row r="62" spans="2:5">
      <c r="B62" s="55"/>
      <c r="C62" s="171" t="s">
        <v>36</v>
      </c>
    </row>
    <row r="63" spans="2:5">
      <c r="B63" s="55"/>
      <c r="C63" s="170" t="s">
        <v>82</v>
      </c>
    </row>
    <row r="64" spans="2:5">
      <c r="B64" s="55"/>
      <c r="C64" s="170" t="s">
        <v>94</v>
      </c>
    </row>
    <row r="65" spans="2:3">
      <c r="B65" s="55"/>
      <c r="C65" s="170" t="s">
        <v>89</v>
      </c>
    </row>
    <row r="66" spans="2:3">
      <c r="B66" s="55"/>
      <c r="C66" s="171" t="s">
        <v>14</v>
      </c>
    </row>
    <row r="67" spans="2:3">
      <c r="B67" s="55"/>
      <c r="C67" s="170" t="s">
        <v>100</v>
      </c>
    </row>
    <row r="68" spans="2:3">
      <c r="B68" s="55"/>
      <c r="C68" s="171" t="s">
        <v>17</v>
      </c>
    </row>
    <row r="69" spans="2:3">
      <c r="B69" s="55"/>
      <c r="C69" s="170" t="s">
        <v>45</v>
      </c>
    </row>
    <row r="70" spans="2:3">
      <c r="B70" s="55"/>
      <c r="C70" s="170" t="s">
        <v>12</v>
      </c>
    </row>
    <row r="71" spans="2:3">
      <c r="B71" s="55"/>
      <c r="C71" s="170" t="s">
        <v>3</v>
      </c>
    </row>
    <row r="72" spans="2:3">
      <c r="B72" s="55"/>
      <c r="C72" s="170" t="s">
        <v>101</v>
      </c>
    </row>
    <row r="73" spans="2:3">
      <c r="B73" s="55"/>
      <c r="C73" s="170" t="s">
        <v>37</v>
      </c>
    </row>
    <row r="74" spans="2:3" ht="13.5" customHeight="1">
      <c r="B74" s="55"/>
      <c r="C74" s="275"/>
    </row>
    <row r="75" spans="2:3">
      <c r="B75" s="55"/>
      <c r="C75" s="275"/>
    </row>
    <row r="76" spans="2:3" ht="30.75" customHeight="1">
      <c r="B76" s="16"/>
      <c r="C76" s="321" t="s">
        <v>52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66</v>
      </c>
    </row>
    <row r="81" spans="2:3">
      <c r="B81" s="55"/>
      <c r="C81" s="170" t="s">
        <v>86</v>
      </c>
    </row>
    <row r="82" spans="2:3">
      <c r="B82" s="55"/>
      <c r="C82" s="170" t="s">
        <v>67</v>
      </c>
    </row>
    <row r="83" spans="2:3">
      <c r="B83" s="55"/>
      <c r="C83" s="170" t="s">
        <v>75</v>
      </c>
    </row>
    <row r="84" spans="2:3">
      <c r="B84" s="55"/>
      <c r="C84" s="170" t="s">
        <v>95</v>
      </c>
    </row>
    <row r="85" spans="2:3">
      <c r="B85" s="55"/>
      <c r="C85" s="171" t="s">
        <v>32</v>
      </c>
    </row>
    <row r="86" spans="2:3">
      <c r="B86" s="55"/>
      <c r="C86" s="170" t="s">
        <v>74</v>
      </c>
    </row>
    <row r="87" spans="2:3">
      <c r="B87" s="55"/>
      <c r="C87" s="170" t="s">
        <v>65</v>
      </c>
    </row>
    <row r="88" spans="2:3">
      <c r="B88" s="55"/>
      <c r="C88" s="171" t="s">
        <v>84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87</v>
      </c>
    </row>
    <row r="92" spans="2:3">
      <c r="B92" s="55"/>
      <c r="C92" s="170" t="s">
        <v>71</v>
      </c>
    </row>
    <row r="93" spans="2:3">
      <c r="B93" s="55"/>
      <c r="C93" s="171" t="s">
        <v>19</v>
      </c>
    </row>
    <row r="94" spans="2:3">
      <c r="B94" s="55"/>
      <c r="C94" s="170" t="s">
        <v>68</v>
      </c>
    </row>
    <row r="95" spans="2:3">
      <c r="B95" s="55"/>
      <c r="C95" s="171" t="s">
        <v>16</v>
      </c>
    </row>
    <row r="96" spans="2:3">
      <c r="B96" s="55"/>
      <c r="C96" s="170" t="s">
        <v>70</v>
      </c>
    </row>
    <row r="97" spans="2:3">
      <c r="B97" s="55"/>
      <c r="C97" s="171" t="s">
        <v>15</v>
      </c>
    </row>
    <row r="98" spans="2:3">
      <c r="B98" s="55"/>
      <c r="C98" s="170" t="s">
        <v>69</v>
      </c>
    </row>
    <row r="99" spans="2:3">
      <c r="B99" s="55"/>
      <c r="C99" s="171" t="s">
        <v>14</v>
      </c>
    </row>
    <row r="100" spans="2:3">
      <c r="B100" s="55"/>
      <c r="C100" s="170" t="s">
        <v>98</v>
      </c>
    </row>
    <row r="101" spans="2:3">
      <c r="B101" s="55"/>
      <c r="C101" s="170" t="s">
        <v>103</v>
      </c>
    </row>
    <row r="102" spans="2:3">
      <c r="B102" s="55"/>
      <c r="C102" s="171" t="s">
        <v>17</v>
      </c>
    </row>
    <row r="103" spans="2:3">
      <c r="B103" s="55"/>
      <c r="C103" s="170" t="s">
        <v>78</v>
      </c>
    </row>
    <row r="104" spans="2:3">
      <c r="B104" s="55"/>
      <c r="C104" s="170" t="s">
        <v>77</v>
      </c>
    </row>
    <row r="105" spans="2:3">
      <c r="B105" s="55"/>
      <c r="C105" s="170" t="s">
        <v>83</v>
      </c>
    </row>
    <row r="106" spans="2:3">
      <c r="C106" s="170" t="s">
        <v>76</v>
      </c>
    </row>
    <row r="107" spans="2:3">
      <c r="C107" s="170" t="s">
        <v>46</v>
      </c>
    </row>
    <row r="108" spans="2:3">
      <c r="C108" s="290"/>
    </row>
    <row r="109" spans="2:3">
      <c r="C109" s="322"/>
    </row>
    <row r="110" spans="2:3">
      <c r="C110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F13" sqref="F13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27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(janeiro-agosto)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(janeiro-agosto)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(agosto)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(janeiro-agosto)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(janeiro-agosto)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(janeiro-agosto)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(janeiro-agosto)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(janeiro-agosto)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(janeiro-agosto)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(janeiro-agosto)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(janeiro-agosto)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(agosto)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agosto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agosto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agosto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agosto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F17" sqref="F1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(janeiro-agosto)","TABLE I - Consolidated budget execution (january-august)")</f>
        <v>QUADRO I - Execução orçamental consolidada (janeiro-agosto)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867523.87760000001</v>
      </c>
      <c r="E5" s="57">
        <v>329301.36846999993</v>
      </c>
      <c r="F5" s="57">
        <v>227477.85817000002</v>
      </c>
      <c r="G5" s="57">
        <v>941816.15526000026</v>
      </c>
      <c r="H5" s="57">
        <v>20.114150084222725</v>
      </c>
    </row>
    <row r="6" spans="1:10" ht="11.25" customHeight="1">
      <c r="C6" s="68" t="str">
        <f>+IF(Índice!$D$2=1,"Impostos diretos","Direct taxes")</f>
        <v>Impostos diretos</v>
      </c>
      <c r="D6" s="56">
        <v>244472.1263</v>
      </c>
      <c r="E6" s="56">
        <v>0</v>
      </c>
      <c r="F6" s="56">
        <v>0</v>
      </c>
      <c r="G6" s="56">
        <v>244472.1263</v>
      </c>
      <c r="H6" s="56">
        <v>46.85498851003247</v>
      </c>
    </row>
    <row r="7" spans="1:10">
      <c r="C7" s="68" t="str">
        <f>+IF(Índice!$D$2=1,"Impostos indiretos","Indirect taxes")</f>
        <v>Impostos indiretos</v>
      </c>
      <c r="D7" s="56">
        <v>448854.5210500001</v>
      </c>
      <c r="E7" s="56">
        <v>0</v>
      </c>
      <c r="F7" s="56">
        <v>0</v>
      </c>
      <c r="G7" s="56">
        <v>448854.5210500001</v>
      </c>
      <c r="H7" s="56">
        <v>11.524417481442306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174197.23024999996</v>
      </c>
      <c r="E9" s="56">
        <v>329301.36846999993</v>
      </c>
      <c r="F9" s="56">
        <v>227477.85817000002</v>
      </c>
      <c r="G9" s="56">
        <v>236401.10797000024</v>
      </c>
      <c r="H9" s="56">
        <v>10.468112122313666</v>
      </c>
    </row>
    <row r="10" spans="1:10">
      <c r="C10" s="69" t="str">
        <f>+IF(Índice!$D$2=1,"Transferências correntes","Current transfers")</f>
        <v>Transferências correntes</v>
      </c>
      <c r="D10" s="56">
        <v>142972.26811999996</v>
      </c>
      <c r="E10" s="56">
        <v>323246.68316999992</v>
      </c>
      <c r="F10" s="56">
        <v>197718.16126000002</v>
      </c>
      <c r="G10" s="56">
        <v>169361.76363000018</v>
      </c>
      <c r="H10" s="56">
        <v>7.0286546656388671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142496.17660000001</v>
      </c>
      <c r="E11" s="56">
        <v>1064.7338400000001</v>
      </c>
      <c r="F11" s="56">
        <v>756.15622000000008</v>
      </c>
      <c r="G11" s="56">
        <v>144317.06666000001</v>
      </c>
      <c r="H11" s="56">
        <v>4.8328682878464591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299642.21130999987</v>
      </c>
      <c r="F12" s="56">
        <v>194933.13760999995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12088.399939999961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54058.775050000004</v>
      </c>
      <c r="E14" s="57">
        <v>18634.313969999999</v>
      </c>
      <c r="F14" s="57">
        <v>20638.925539999993</v>
      </c>
      <c r="G14" s="57">
        <v>72663.351170000009</v>
      </c>
      <c r="H14" s="57">
        <v>-35.736123375263439</v>
      </c>
    </row>
    <row r="15" spans="1:10">
      <c r="C15" s="68" t="str">
        <f>+IF(Índice!$D$2=1,"Venda de bens de investimento","Sale of investment goods")</f>
        <v>Venda de bens de investimento</v>
      </c>
      <c r="D15" s="56">
        <v>7615.1750199999997</v>
      </c>
      <c r="E15" s="56">
        <v>0</v>
      </c>
      <c r="F15" s="56">
        <v>127.49796000000001</v>
      </c>
      <c r="G15" s="56">
        <v>7742.6729799999994</v>
      </c>
      <c r="H15" s="56">
        <v>74.839102335923528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44113.785000000003</v>
      </c>
      <c r="E16" s="56">
        <v>18571.025989999998</v>
      </c>
      <c r="F16" s="56">
        <v>20475.136249999992</v>
      </c>
      <c r="G16" s="56">
        <v>62426.939799999993</v>
      </c>
      <c r="H16" s="56">
        <v>-37.958513532453154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33981.735500000003</v>
      </c>
      <c r="E17" s="56">
        <v>145.84802999999999</v>
      </c>
      <c r="F17" s="56">
        <v>0</v>
      </c>
      <c r="G17" s="56">
        <v>34127.583530000004</v>
      </c>
      <c r="H17" s="56">
        <v>2.5496774272071088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11753.408010000001</v>
      </c>
      <c r="F18" s="56">
        <v>8979.5994300000002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64.34405000000713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921582.65265000018</v>
      </c>
      <c r="E20" s="57">
        <v>347935.68243999995</v>
      </c>
      <c r="F20" s="57">
        <v>248116.78371000002</v>
      </c>
      <c r="G20" s="57">
        <v>1014479.5064300003</v>
      </c>
      <c r="H20" s="57">
        <v>13.075352458763966</v>
      </c>
    </row>
    <row r="21" spans="3:8" ht="20.25" customHeight="1">
      <c r="C21" s="220" t="str">
        <f>+IF(Índice!$D$2=1,"Despesa corrente","Current expenditure")</f>
        <v>Despesa corrente</v>
      </c>
      <c r="D21" s="220">
        <v>841886.56359999906</v>
      </c>
      <c r="E21" s="220">
        <v>318105.81206999999</v>
      </c>
      <c r="F21" s="220">
        <v>221213.11815999984</v>
      </c>
      <c r="G21" s="220">
        <v>898718.52592999907</v>
      </c>
      <c r="H21" s="220">
        <v>5.8512633718787788</v>
      </c>
    </row>
    <row r="22" spans="3:8" ht="10.5" customHeight="1">
      <c r="C22" s="68" t="str">
        <f>+IF(Índice!$D$2=1,"Consumo público","Public consumption")</f>
        <v>Consumo público</v>
      </c>
      <c r="D22" s="56">
        <v>400658.83416999923</v>
      </c>
      <c r="E22" s="56">
        <v>103574.83376999994</v>
      </c>
      <c r="F22" s="56">
        <v>208482.18180999983</v>
      </c>
      <c r="G22" s="56">
        <v>712715.849749999</v>
      </c>
      <c r="H22" s="56">
        <v>7.0173137612481895</v>
      </c>
    </row>
    <row r="23" spans="3:8">
      <c r="C23" s="69" t="str">
        <f>+IF(Índice!$D$2=1,"Despesas com o pessoal","Compensation of employees")</f>
        <v>Despesas com o pessoal</v>
      </c>
      <c r="D23" s="56">
        <v>284204.55059999909</v>
      </c>
      <c r="E23" s="56">
        <v>33185.310149999998</v>
      </c>
      <c r="F23" s="56">
        <v>157738.77427999981</v>
      </c>
      <c r="G23" s="56">
        <v>475128.6350299989</v>
      </c>
      <c r="H23" s="56">
        <v>7.9885901617505306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116454.28357000016</v>
      </c>
      <c r="E24" s="56">
        <v>70389.523619999934</v>
      </c>
      <c r="F24" s="56">
        <v>50743.407530000033</v>
      </c>
      <c r="G24" s="56">
        <v>237587.21472000011</v>
      </c>
      <c r="H24" s="56">
        <v>5.1264291935354089</v>
      </c>
    </row>
    <row r="25" spans="3:8">
      <c r="C25" s="68" t="str">
        <f>+IF(Índice!$D$2=1,"Subsídios","Subsidies")</f>
        <v>Subsídios</v>
      </c>
      <c r="D25" s="56">
        <v>13931.906939999999</v>
      </c>
      <c r="E25" s="56">
        <v>3506.1269699999998</v>
      </c>
      <c r="F25" s="56">
        <v>0.80500000000000005</v>
      </c>
      <c r="G25" s="56">
        <v>17438.81999</v>
      </c>
      <c r="H25" s="56">
        <v>-18.371228856015563</v>
      </c>
    </row>
    <row r="26" spans="3:8">
      <c r="C26" s="68" t="str">
        <f>+IF(Índice!$D$2=1,"Juros e outros encargos","Interests and other charges")</f>
        <v>Juros e outros encargos</v>
      </c>
      <c r="D26" s="56">
        <v>81146.944340000075</v>
      </c>
      <c r="E26" s="56">
        <v>138.18279000000001</v>
      </c>
      <c r="F26" s="56">
        <v>4046.4065099999998</v>
      </c>
      <c r="G26" s="56">
        <v>85331.533640000067</v>
      </c>
      <c r="H26" s="56">
        <v>14.770209437916225</v>
      </c>
    </row>
    <row r="27" spans="3:8">
      <c r="C27" s="68" t="str">
        <f>+IF(Índice!$D$2=1,"Transferências correntes","Current transfers")</f>
        <v>Transferências correntes</v>
      </c>
      <c r="D27" s="56">
        <v>346148.87814999977</v>
      </c>
      <c r="E27" s="56">
        <v>210886.66854000004</v>
      </c>
      <c r="F27" s="56">
        <v>8683.7248400000044</v>
      </c>
      <c r="G27" s="56">
        <v>83232.322549999983</v>
      </c>
      <c r="H27" s="56">
        <v>-4.7071607161239708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1538.3665600000002</v>
      </c>
      <c r="F28" s="56">
        <v>0</v>
      </c>
      <c r="G28" s="56">
        <v>1538.3665600000002</v>
      </c>
      <c r="H28" s="56">
        <v>12.519590602935393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292669.98594999983</v>
      </c>
      <c r="E29" s="56">
        <v>189765.47407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82926.387009999977</v>
      </c>
      <c r="E31" s="57">
        <v>18261.998779999994</v>
      </c>
      <c r="F31" s="57">
        <v>17824.411339999988</v>
      </c>
      <c r="G31" s="57">
        <v>98344.133739999961</v>
      </c>
      <c r="H31" s="57">
        <v>-23.70612968083028</v>
      </c>
    </row>
    <row r="32" spans="3:8">
      <c r="C32" s="68" t="str">
        <f>+IF(Índice!$D$2=1,"Investimento","Investment")</f>
        <v>Investimento</v>
      </c>
      <c r="D32" s="56">
        <v>52991.219539999984</v>
      </c>
      <c r="E32" s="56">
        <v>2323.6507499999998</v>
      </c>
      <c r="F32" s="56">
        <v>17767.198019999989</v>
      </c>
      <c r="G32" s="56">
        <v>73082.068309999973</v>
      </c>
      <c r="H32" s="56">
        <v>11.119039022028311</v>
      </c>
    </row>
    <row r="33" spans="3:8">
      <c r="C33" s="68" t="str">
        <f>+IF(Índice!$D$2=1,"Transferências capital","Capital transfers")</f>
        <v>Transferências capital</v>
      </c>
      <c r="D33" s="56">
        <v>29935.16747</v>
      </c>
      <c r="E33" s="56">
        <v>15930.092419999995</v>
      </c>
      <c r="F33" s="56">
        <v>57.213320000000003</v>
      </c>
      <c r="G33" s="56">
        <v>25253.809820000002</v>
      </c>
      <c r="H33" s="56">
        <v>-59.872046995263318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4785.0167599999995</v>
      </c>
      <c r="E34" s="56">
        <v>0</v>
      </c>
      <c r="F34" s="56">
        <v>0</v>
      </c>
      <c r="G34" s="56">
        <v>4785.0167599999995</v>
      </c>
      <c r="H34" s="56">
        <v>-11.572054060927472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20660.407779999994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924812.95060999913</v>
      </c>
      <c r="E38" s="86">
        <v>336367.81084999989</v>
      </c>
      <c r="F38" s="86">
        <v>239037.52949999983</v>
      </c>
      <c r="G38" s="86">
        <v>997062.65966999903</v>
      </c>
      <c r="H38" s="86">
        <v>1.9553222161379447</v>
      </c>
    </row>
    <row r="39" spans="3:8" ht="17.25" customHeight="1">
      <c r="C39" s="138" t="str">
        <f>+IF(Índice!$D$2=1,"Saldo global","Overall balance")</f>
        <v>Saldo global</v>
      </c>
      <c r="D39" s="139">
        <v>-3230.2979599989485</v>
      </c>
      <c r="E39" s="139">
        <v>11567.871590000053</v>
      </c>
      <c r="F39" s="139">
        <v>9079.2542100001883</v>
      </c>
      <c r="G39" s="139">
        <v>17416.846760001266</v>
      </c>
      <c r="H39" s="139">
        <v>121.56362770740191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25637.314000000944</v>
      </c>
      <c r="E41" s="19">
        <v>11195.556399999943</v>
      </c>
      <c r="F41" s="19">
        <v>6264.7400100001832</v>
      </c>
      <c r="G41" s="19">
        <v>43097.629330001189</v>
      </c>
      <c r="H41" s="19">
        <v>166.36724979985013</v>
      </c>
    </row>
    <row r="42" spans="3:8">
      <c r="C42" s="68" t="str">
        <f>+IF(Índice!$D$2=1,"Despesa corrente primária","Primary current expenditure")</f>
        <v>Despesa corrente primária</v>
      </c>
      <c r="D42" s="19">
        <v>760739.61925999902</v>
      </c>
      <c r="E42" s="19">
        <v>317967.62927999999</v>
      </c>
      <c r="F42" s="19">
        <v>217166.71164999984</v>
      </c>
      <c r="G42" s="19">
        <v>813386.99228999903</v>
      </c>
      <c r="H42" s="19">
        <v>4.9952777719982633</v>
      </c>
    </row>
    <row r="43" spans="3:8">
      <c r="C43" s="68" t="str">
        <f>+IF(Índice!$D$2=1,"Saldo corrente primário","Primary current balance")</f>
        <v>Saldo corrente primário</v>
      </c>
      <c r="D43" s="19">
        <v>106784.25834000099</v>
      </c>
      <c r="E43" s="19">
        <v>11333.739189999935</v>
      </c>
      <c r="F43" s="19">
        <v>10311.146520000184</v>
      </c>
      <c r="G43" s="19">
        <v>128429.16297000123</v>
      </c>
      <c r="H43" s="19">
        <v>1264.5546568354132</v>
      </c>
    </row>
    <row r="44" spans="3:8">
      <c r="C44" s="68" t="str">
        <f>+IF(Índice!$D$2=1,"Saldo de capital","Capital balance")</f>
        <v>Saldo de capital</v>
      </c>
      <c r="D44" s="19">
        <v>-28867.611959999973</v>
      </c>
      <c r="E44" s="19">
        <v>372.3151900000048</v>
      </c>
      <c r="F44" s="19">
        <v>2814.5142000000051</v>
      </c>
      <c r="G44" s="19">
        <v>-25680.782569999952</v>
      </c>
      <c r="H44" s="19">
        <v>-62.213604051924356</v>
      </c>
    </row>
    <row r="45" spans="3:8">
      <c r="C45" s="68" t="str">
        <f t="array" ref="C45">+IF(Índice!$D$2=1,"Despesa primária","Primary expenditure")</f>
        <v>Despesa primária</v>
      </c>
      <c r="D45" s="19">
        <v>843666.00626999908</v>
      </c>
      <c r="E45" s="19">
        <v>336229.6280599999</v>
      </c>
      <c r="F45" s="19">
        <v>234991.12298999983</v>
      </c>
      <c r="G45" s="19">
        <v>911731.126029999</v>
      </c>
      <c r="H45" s="19">
        <v>0.90087867228247909</v>
      </c>
    </row>
    <row r="46" spans="3:8">
      <c r="C46" s="221" t="str">
        <f>+IF(Índice!$D$2=1,"Saldo primário","Primary balance")</f>
        <v>Saldo primário</v>
      </c>
      <c r="D46" s="132">
        <v>77916.646380001097</v>
      </c>
      <c r="E46" s="132">
        <v>11706.054380000045</v>
      </c>
      <c r="F46" s="132">
        <v>13125.660720000189</v>
      </c>
      <c r="G46" s="132">
        <v>102748.3804000013</v>
      </c>
      <c r="H46" s="132">
        <v>1700.5268553262686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(janeiro-agosto)","TABLE II - Regional Gov. budget execution (january-august)")</f>
        <v>QUADRO II - Execução orçamental do Gov. Regional (janeiro-agosto)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732398.6688300001</v>
      </c>
      <c r="E5" s="225">
        <v>867523.87760000001</v>
      </c>
      <c r="F5" s="225">
        <v>18.449679733288036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568943.75967000006</v>
      </c>
      <c r="E6" s="231">
        <v>693326.6473500001</v>
      </c>
      <c r="F6" s="231">
        <v>21.862070822631896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166471.78879000002</v>
      </c>
      <c r="E7" s="231">
        <v>244472.1263</v>
      </c>
      <c r="F7" s="231">
        <v>46.854988510032449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402471.9708800001</v>
      </c>
      <c r="E8" s="231">
        <v>448854.5210500001</v>
      </c>
      <c r="F8" s="231">
        <v>11.524417481442285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163454.90916000001</v>
      </c>
      <c r="E9" s="231">
        <v>174197.23024999996</v>
      </c>
      <c r="F9" s="231">
        <v>6.5720394359552126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75385.975040000019</v>
      </c>
      <c r="E10" s="232">
        <v>54058.775050000004</v>
      </c>
      <c r="F10" s="232">
        <v>-28.290673402690281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807784.64387000015</v>
      </c>
      <c r="E12" s="232">
        <v>921582.65265000006</v>
      </c>
      <c r="F12" s="232">
        <v>14.08766676162687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785445.07798999932</v>
      </c>
      <c r="E14" s="232">
        <v>841886.56359999964</v>
      </c>
      <c r="F14" s="232">
        <v>7.1859239037358913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262559.77016999939</v>
      </c>
      <c r="E15" s="231">
        <v>284204.55059999955</v>
      </c>
      <c r="F15" s="231">
        <v>8.2437535712290622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111027.40906000003</v>
      </c>
      <c r="E16" s="231">
        <v>115862.04335000015</v>
      </c>
      <c r="F16" s="231">
        <v>4.3544511494341354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71263.255720000001</v>
      </c>
      <c r="E17" s="231">
        <v>81146.944340000075</v>
      </c>
      <c r="F17" s="231">
        <v>13.869263367413364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324121.39992999996</v>
      </c>
      <c r="E18" s="231">
        <v>346148.87814999983</v>
      </c>
      <c r="F18" s="231">
        <v>6.7960579661685783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272389.88276999997</v>
      </c>
      <c r="E19" s="231">
        <v>292669.98594999983</v>
      </c>
      <c r="F19" s="231">
        <v>7.4452483233835576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51731.517160000003</v>
      </c>
      <c r="E20" s="231">
        <v>53478.892199999995</v>
      </c>
      <c r="F20" s="231">
        <v>3.3777765198641951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15780.105240000001</v>
      </c>
      <c r="E21" s="231">
        <v>13931.906939999999</v>
      </c>
      <c r="F21" s="231">
        <v>-11.712205158905531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693.13787000000025</v>
      </c>
      <c r="E22" s="231">
        <v>592.24022000000002</v>
      </c>
      <c r="F22" s="231">
        <v>-14.556649458498095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127810.26835</v>
      </c>
      <c r="E23" s="232">
        <v>82926.387009999977</v>
      </c>
      <c r="F23" s="232">
        <v>-35.117586340628336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56631.834040000016</v>
      </c>
      <c r="E24" s="231">
        <v>52991.219539999984</v>
      </c>
      <c r="F24" s="231">
        <v>-6.4285654203404485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71178.434309999982</v>
      </c>
      <c r="E25" s="231">
        <v>29935.167469999997</v>
      </c>
      <c r="F25" s="231">
        <v>-57.943487012337449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62752.364509999992</v>
      </c>
      <c r="E26" s="231">
        <v>25445.424539999996</v>
      </c>
      <c r="F26" s="231">
        <v>-59.451050587990025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8426.0697999999975</v>
      </c>
      <c r="E27" s="231">
        <v>4489.7429300000003</v>
      </c>
      <c r="F27" s="231">
        <v>-46.716048684999002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913255.34633999935</v>
      </c>
      <c r="E29" s="235">
        <v>924812.95060999959</v>
      </c>
      <c r="F29" s="235">
        <v>1.2655391853241271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-105470.7024699992</v>
      </c>
      <c r="E31" s="139">
        <v>-3230.2979599996106</v>
      </c>
      <c r="F31" s="139">
        <v>96.937255669726426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-53046.409159999224</v>
      </c>
      <c r="E33" s="19">
        <v>25637.314000000362</v>
      </c>
      <c r="F33" s="19">
        <v>148.32997069165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-52424.293309999979</v>
      </c>
      <c r="E34" s="19">
        <v>-28867.611959999973</v>
      </c>
      <c r="F34" s="19">
        <v>44.934666473618535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-34207.446749999202</v>
      </c>
      <c r="E35" s="19">
        <v>77916.646380000457</v>
      </c>
      <c r="F35" s="19">
        <v>327.77685499138363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26345.248149999999</v>
      </c>
      <c r="E36" s="106">
        <v>16831.142829999997</v>
      </c>
      <c r="F36" s="106">
        <v>-36.113174056400013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(agosto)","TABLE III - Regional Gov. budget execution (august)")</f>
        <v>QUADRO III - Execução orçamental do Gov. Regional (agosto)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105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108096.24581000015</v>
      </c>
      <c r="E5" s="225">
        <v>126517.35012999998</v>
      </c>
      <c r="F5" s="225">
        <v>17.041391384098993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104211.61561000015</v>
      </c>
      <c r="E6" s="231">
        <v>122807.06014000002</v>
      </c>
      <c r="F6" s="231">
        <v>17.843926918464771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44938.773399999991</v>
      </c>
      <c r="E7" s="231">
        <v>60627.000630000024</v>
      </c>
      <c r="F7" s="231">
        <v>34.910225720580158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59272.842210000155</v>
      </c>
      <c r="E8" s="231">
        <v>62180.059509999992</v>
      </c>
      <c r="F8" s="231">
        <v>4.9048049521562387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3884.6302000000087</v>
      </c>
      <c r="E9" s="231">
        <v>3710.2899899999684</v>
      </c>
      <c r="F9" s="231">
        <v>-4.4879486855670336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3317.8304500000022</v>
      </c>
      <c r="E10" s="232">
        <v>183.82479000000146</v>
      </c>
      <c r="F10" s="232">
        <v>-94.459488127248889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111414.07626000016</v>
      </c>
      <c r="E12" s="232">
        <v>126701.17491999998</v>
      </c>
      <c r="F12" s="232">
        <v>13.720975996179563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119757.97758999981</v>
      </c>
      <c r="E14" s="232">
        <v>113892.18814999974</v>
      </c>
      <c r="F14" s="232">
        <v>-4.8980364882931005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31120.681089999707</v>
      </c>
      <c r="E15" s="231">
        <v>34999.531929999619</v>
      </c>
      <c r="F15" s="231">
        <v>12.46390086638025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34728.474329999925</v>
      </c>
      <c r="E16" s="231">
        <v>31621.010070000113</v>
      </c>
      <c r="F16" s="231">
        <v>-8.9478859061638989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2654.6261400000008</v>
      </c>
      <c r="E17" s="231">
        <v>683.51079000003631</v>
      </c>
      <c r="F17" s="231">
        <v>-74.25208846922466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49033.678010000171</v>
      </c>
      <c r="E18" s="231">
        <v>45212.589879999992</v>
      </c>
      <c r="F18" s="231">
        <v>-7.7927830117514034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2027.6882699999976</v>
      </c>
      <c r="E19" s="231">
        <v>1265.3452300000004</v>
      </c>
      <c r="F19" s="231">
        <v>-37.596658780296544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192.82975000000025</v>
      </c>
      <c r="E20" s="231">
        <v>110.20024999999983</v>
      </c>
      <c r="F20" s="231">
        <v>-42.851012356755277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26684.265849999952</v>
      </c>
      <c r="E21" s="232">
        <v>10961.972729999989</v>
      </c>
      <c r="F21" s="232">
        <v>-58.919713993180714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10059.08223999998</v>
      </c>
      <c r="E22" s="231">
        <v>9046.0913299999902</v>
      </c>
      <c r="F22" s="231">
        <v>-10.070410856885402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16625.183609999971</v>
      </c>
      <c r="E23" s="231">
        <v>1915.8813999999986</v>
      </c>
      <c r="F23" s="231">
        <v>-88.476028626549393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146442.24343999976</v>
      </c>
      <c r="E25" s="300">
        <v>124854.16087999973</v>
      </c>
      <c r="F25" s="300">
        <v>-14.741704342193508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-35028.167179999597</v>
      </c>
      <c r="E27" s="287">
        <v>1847.0140400002419</v>
      </c>
      <c r="F27" s="287">
        <v>105.27293943331084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-11661.731779999653</v>
      </c>
      <c r="E29" s="19">
        <v>12625.161980000237</v>
      </c>
      <c r="F29" s="19">
        <v>208.26146766342976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-23366.435399999951</v>
      </c>
      <c r="E30" s="19">
        <v>-10778.147939999988</v>
      </c>
      <c r="F30" s="19">
        <v>53.873375397258869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-32373.541039999596</v>
      </c>
      <c r="E31" s="19">
        <v>2530.5248300002781</v>
      </c>
      <c r="F31" s="19">
        <v>107.81664516363425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(janeiro-agosto)","TABLE IV - Regional Gov. tax revenue budget execution (january-august)")</f>
        <v>QUADRO IV - Execução orçamental da receita fiscal do Gov. Reg. (janeiro-agosto)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568943.75967000006</v>
      </c>
      <c r="E5" s="33">
        <v>693326.6473500001</v>
      </c>
      <c r="F5" s="270">
        <v>0.21862070822631896</v>
      </c>
      <c r="G5" s="270">
        <v>0.65614026090857103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166471.78879000002</v>
      </c>
      <c r="E7" s="70">
        <v>244472.1263</v>
      </c>
      <c r="F7" s="271">
        <v>0.46854988510032447</v>
      </c>
      <c r="G7" s="271">
        <v>0.64500598231447337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108936.12667</v>
      </c>
      <c r="E8" s="70">
        <v>116473.62790000001</v>
      </c>
      <c r="F8" s="271">
        <v>6.9191933478903067E-2</v>
      </c>
      <c r="G8" s="271">
        <v>0.48479786433858618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57535.662120000008</v>
      </c>
      <c r="E9" s="70">
        <v>127998.49840000001</v>
      </c>
      <c r="F9" s="271">
        <v>1.2246810705513091</v>
      </c>
      <c r="G9" s="271">
        <v>0.92237145983195223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402471.9708800001</v>
      </c>
      <c r="E11" s="70">
        <v>448854.5210500001</v>
      </c>
      <c r="F11" s="271">
        <v>0.11524417481442284</v>
      </c>
      <c r="G11" s="271">
        <v>0.66236787000856401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28688.904910000001</v>
      </c>
      <c r="E12" s="70">
        <v>22314.957269999999</v>
      </c>
      <c r="F12" s="271">
        <v>-0.22217465811245574</v>
      </c>
      <c r="G12" s="271">
        <v>0.43326648939888163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309550.52364000003</v>
      </c>
      <c r="E13" s="70">
        <v>356232.04167999997</v>
      </c>
      <c r="F13" s="271">
        <v>0.15080419664962164</v>
      </c>
      <c r="G13" s="271">
        <v>0.695768046469875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3166.3005699999999</v>
      </c>
      <c r="E14" s="70">
        <v>4481.6024100000004</v>
      </c>
      <c r="F14" s="271">
        <v>0.41540650071638674</v>
      </c>
      <c r="G14" s="271">
        <v>0.87548396366477832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20231.835480000002</v>
      </c>
      <c r="E15" s="70">
        <v>21858.047449999998</v>
      </c>
      <c r="F15" s="271">
        <v>8.0378864864118382E-2</v>
      </c>
      <c r="G15" s="271">
        <v>0.58288126533333329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5497.8134799999998</v>
      </c>
      <c r="E16" s="70">
        <v>5485.5183900000002</v>
      </c>
      <c r="F16" s="271">
        <v>-2.2363599719645855E-3</v>
      </c>
      <c r="G16" s="271">
        <v>0.49687666576086958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35336.592799999999</v>
      </c>
      <c r="E17" s="70">
        <v>38482.353850000007</v>
      </c>
      <c r="F17" s="271">
        <v>8.9022760847503379E-2</v>
      </c>
      <c r="G17" s="271">
        <v>0.63617572945617007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19474.024170000001</v>
      </c>
      <c r="E18" s="70">
        <v>20976.15985</v>
      </c>
      <c r="F18" s="271">
        <v>7.7135350500080913E-2</v>
      </c>
      <c r="G18" s="271">
        <v>0.61533738601413557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3504.4067499999996</v>
      </c>
      <c r="E19" s="70">
        <v>4207.2540999999992</v>
      </c>
      <c r="F19" s="271">
        <v>0.20056100793664999</v>
      </c>
      <c r="G19" s="271">
        <v>0.55030911979925834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238840.88420000003</v>
      </c>
      <c r="E21" s="33">
        <v>228256.00529999996</v>
      </c>
      <c r="F21" s="270">
        <v>-4.4317701031187484E-2</v>
      </c>
      <c r="G21" s="270">
        <v>0.42845829900782806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807784.64387000003</v>
      </c>
      <c r="E23" s="139">
        <v>921582.65265000006</v>
      </c>
      <c r="F23" s="274">
        <v>0.14087666761626871</v>
      </c>
      <c r="G23" s="274">
        <v>0.57982600465008693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P16" sqref="P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(janeiro-agosto)","TABLE V - Regional Gov. non-tax revenue budget execution (january-august)")</f>
        <v>QUADRO V - Execução orçamental da receita não fiscal do Gov. Reg. (janeiro-agosto)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568943.75967000006</v>
      </c>
      <c r="E5" s="41">
        <v>693326.6473500001</v>
      </c>
      <c r="F5" s="276">
        <v>0.21862070822631896</v>
      </c>
      <c r="G5" s="42">
        <v>0.65614026090857103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238840.88420000003</v>
      </c>
      <c r="E7" s="41">
        <v>228256.00529999996</v>
      </c>
      <c r="F7" s="276">
        <v>-4.4317701031187484E-2</v>
      </c>
      <c r="G7" s="42">
        <v>0.42845829900782806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163454.90916000001</v>
      </c>
      <c r="E8" s="41">
        <v>174197.23024999996</v>
      </c>
      <c r="F8" s="276">
        <v>6.5720394359552126E-2</v>
      </c>
      <c r="G8" s="42">
        <v>0.64416529795080457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9763.2994299999991</v>
      </c>
      <c r="E10" s="71">
        <v>13127.676069999996</v>
      </c>
      <c r="F10" s="278">
        <v>0.34459422904332637</v>
      </c>
      <c r="G10" s="43">
        <v>0.54499183280858698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7812.772210000001</v>
      </c>
      <c r="E11" s="71">
        <v>8397.25353</v>
      </c>
      <c r="F11" s="278">
        <v>7.4811002329222998E-2</v>
      </c>
      <c r="G11" s="43">
        <v>0.96954198289076199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136881.45582</v>
      </c>
      <c r="E12" s="71">
        <v>142972.26811999996</v>
      </c>
      <c r="F12" s="278">
        <v>4.4496986560468965E-2</v>
      </c>
      <c r="G12" s="43">
        <v>0.73301147060927208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5901.4285499999996</v>
      </c>
      <c r="E13" s="47">
        <v>6933.1453000000001</v>
      </c>
      <c r="F13" s="278">
        <v>0.17482491590955562</v>
      </c>
      <c r="G13" s="43">
        <v>0.70869230253422977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3095.9531500000003</v>
      </c>
      <c r="E14" s="71">
        <v>2766.8872299999998</v>
      </c>
      <c r="F14" s="278">
        <v>-0.10628905027196567</v>
      </c>
      <c r="G14" s="43">
        <v>8.4244621947583642E-2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75385.975040000019</v>
      </c>
      <c r="E17" s="41">
        <v>54058.775050000004</v>
      </c>
      <c r="F17" s="276">
        <v>-0.28290673402690281</v>
      </c>
      <c r="G17" s="42">
        <v>0.20608359618641253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4166.25576</v>
      </c>
      <c r="E18" s="71">
        <v>7615.1750199999997</v>
      </c>
      <c r="F18" s="278">
        <v>0.82782226024453176</v>
      </c>
      <c r="G18" s="43">
        <v>0.28051703903849146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63444.688060000008</v>
      </c>
      <c r="E19" s="44">
        <v>44113.785000000003</v>
      </c>
      <c r="F19" s="278">
        <v>-0.30468907092298503</v>
      </c>
      <c r="G19" s="43">
        <v>0.19496703024006679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7773.6545400000005</v>
      </c>
      <c r="E21" s="47">
        <v>2321.5336299999999</v>
      </c>
      <c r="F21" s="278">
        <v>-0.70135878587679046</v>
      </c>
      <c r="G21" s="43">
        <v>0.26075857913063011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807784.64387000003</v>
      </c>
      <c r="E23" s="287">
        <v>921582.65265000006</v>
      </c>
      <c r="F23" s="288">
        <v>0.14087666761626871</v>
      </c>
      <c r="G23" s="288">
        <v>0.57982600465008693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P16" sqref="P16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(janeiro-agosto)","TABLE VI - Regional Gov. expenditure budget execution (january-august)")</f>
        <v>QUADRO VI - Execução orçamental das despesas do Governo Regional (janeiro-agosto)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8">
        <v>2022</v>
      </c>
      <c r="E3" s="330">
        <v>2023</v>
      </c>
      <c r="F3" s="153">
        <v>2022</v>
      </c>
      <c r="G3" s="153">
        <v>2023</v>
      </c>
      <c r="H3" s="331" t="str">
        <f>+IF(Índice!$D$2=1,"VH (%)","yoy change (%)")</f>
        <v>VH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Grau de Execução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785445.07798999932</v>
      </c>
      <c r="E5" s="253">
        <v>841886.56359999964</v>
      </c>
      <c r="F5" s="253">
        <v>61.491862255542763</v>
      </c>
      <c r="G5" s="253">
        <v>60.108929857452551</v>
      </c>
      <c r="H5" s="253">
        <v>7.1859239037358842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262559.77016999939</v>
      </c>
      <c r="E6" s="74">
        <v>284204.55059999955</v>
      </c>
      <c r="F6" s="74">
        <v>62.185238213368088</v>
      </c>
      <c r="G6" s="74">
        <v>63.752040324238038</v>
      </c>
      <c r="H6" s="254">
        <v>8.2437535712290675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213462.89829999965</v>
      </c>
      <c r="E7" s="75">
        <v>230958.59379999954</v>
      </c>
      <c r="F7" s="75">
        <v>63.155394237683623</v>
      </c>
      <c r="G7" s="75">
        <v>65.262623073606235</v>
      </c>
      <c r="H7" s="254">
        <v>8.196129462934362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4040.6832399999998</v>
      </c>
      <c r="E8" s="75">
        <v>4800.53262</v>
      </c>
      <c r="F8" s="75">
        <v>65.535557002644495</v>
      </c>
      <c r="G8" s="75">
        <v>61.923491694981692</v>
      </c>
      <c r="H8" s="254">
        <v>18.804972695657284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45056.188630000011</v>
      </c>
      <c r="E9" s="75">
        <v>48445.424180000009</v>
      </c>
      <c r="F9" s="75">
        <v>57.719883067508412</v>
      </c>
      <c r="G9" s="75">
        <v>57.56801921273189</v>
      </c>
      <c r="H9" s="254">
        <v>7.5222420117074087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111027.40906000003</v>
      </c>
      <c r="E10" s="75">
        <v>115862.04335000015</v>
      </c>
      <c r="F10" s="75">
        <v>57.869268473679668</v>
      </c>
      <c r="G10" s="75">
        <v>57.624865088648967</v>
      </c>
      <c r="H10" s="254">
        <v>4.3544511494341425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71263.255720000001</v>
      </c>
      <c r="E11" s="75">
        <v>81146.944340000075</v>
      </c>
      <c r="F11" s="75">
        <v>69.485432707198342</v>
      </c>
      <c r="G11" s="75">
        <v>54.439792528209722</v>
      </c>
      <c r="H11" s="254">
        <v>13.869263367413371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324121.39992999996</v>
      </c>
      <c r="E12" s="74">
        <v>346148.87814999983</v>
      </c>
      <c r="F12" s="74">
        <v>62.683901317383942</v>
      </c>
      <c r="G12" s="74">
        <v>60.855265958424845</v>
      </c>
      <c r="H12" s="254">
        <v>6.7960579661685765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272389.88276999997</v>
      </c>
      <c r="E13" s="74">
        <v>292669.98594999983</v>
      </c>
      <c r="F13" s="74">
        <v>66.777578956467764</v>
      </c>
      <c r="G13" s="74">
        <v>64.562520615606616</v>
      </c>
      <c r="H13" s="254">
        <v>7.4452483233835576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74.877709999999993</v>
      </c>
      <c r="E14" s="75">
        <v>0</v>
      </c>
      <c r="F14" s="74">
        <v>27.240342988525818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272315.00506</v>
      </c>
      <c r="E15" s="75">
        <v>292669.98594999983</v>
      </c>
      <c r="F15" s="75">
        <v>66.804240098146138</v>
      </c>
      <c r="G15" s="75">
        <v>64.599145167882682</v>
      </c>
      <c r="H15" s="254">
        <v>7.4747922486000924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106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106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51731.517160000003</v>
      </c>
      <c r="E18" s="75">
        <v>53478.892199999995</v>
      </c>
      <c r="F18" s="72">
        <v>47.387679548168023</v>
      </c>
      <c r="G18" s="72">
        <v>46.304370752126708</v>
      </c>
      <c r="H18" s="77">
        <v>3.3777765198641849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15780.105240000001</v>
      </c>
      <c r="E19" s="72">
        <v>13931.906939999999</v>
      </c>
      <c r="F19" s="72">
        <v>43.013372599356003</v>
      </c>
      <c r="G19" s="72">
        <v>43.627999053530395</v>
      </c>
      <c r="H19" s="77">
        <v>-11.71220515890553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693.13787000000025</v>
      </c>
      <c r="E20" s="72">
        <v>592.24022000000002</v>
      </c>
      <c r="F20" s="72">
        <v>10.021385836685063</v>
      </c>
      <c r="G20" s="72">
        <v>15.017085655980464</v>
      </c>
      <c r="H20" s="77">
        <v>-14.556649458498089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714181.82226999931</v>
      </c>
      <c r="E22" s="78">
        <v>760739.6192599996</v>
      </c>
      <c r="F22" s="78">
        <v>60.794008074328985</v>
      </c>
      <c r="G22" s="78">
        <v>60.784121088447449</v>
      </c>
      <c r="H22" s="76">
        <v>6.5190397652544751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127810.26835</v>
      </c>
      <c r="E24" s="78">
        <v>82926.387009999977</v>
      </c>
      <c r="F24" s="78">
        <v>42.07905436681424</v>
      </c>
      <c r="G24" s="78">
        <v>25.702154379449865</v>
      </c>
      <c r="H24" s="76">
        <v>-35.117586340628336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56631.834040000016</v>
      </c>
      <c r="E25" s="72">
        <v>52991.219539999984</v>
      </c>
      <c r="F25" s="72">
        <v>32.080742080631317</v>
      </c>
      <c r="G25" s="72">
        <v>24.161199714246919</v>
      </c>
      <c r="H25" s="77">
        <v>-6.4285654203404485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71178.434309999982</v>
      </c>
      <c r="E26" s="59">
        <v>29935.167469999997</v>
      </c>
      <c r="F26" s="59">
        <v>56.390445440525014</v>
      </c>
      <c r="G26" s="59">
        <v>28.973229311746739</v>
      </c>
      <c r="H26" s="77">
        <v>-57.943487012337449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62752.364509999992</v>
      </c>
      <c r="E27" s="59">
        <v>25445.424539999996</v>
      </c>
      <c r="F27" s="59">
        <v>51.137645056345434</v>
      </c>
      <c r="G27" s="59">
        <v>29.620851096865263</v>
      </c>
      <c r="H27" s="77">
        <v>-59.451050587990018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4911.2042399999991</v>
      </c>
      <c r="E28" s="72">
        <v>4046.0063099999998</v>
      </c>
      <c r="F28" s="72">
        <v>85.797530790004984</v>
      </c>
      <c r="G28" s="72">
        <v>76.260574588417825</v>
      </c>
      <c r="H28" s="77">
        <v>-17.616818354921428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57341.160269999993</v>
      </c>
      <c r="E29" s="72">
        <v>20660.407779999994</v>
      </c>
      <c r="F29" s="72">
        <v>50.71513327086258</v>
      </c>
      <c r="G29" s="72">
        <v>27.410009388605268</v>
      </c>
      <c r="H29" s="77">
        <v>-63.96932381082425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500</v>
      </c>
      <c r="E30" s="72">
        <v>739.01045000000011</v>
      </c>
      <c r="F30" s="72">
        <v>12.744392849478015</v>
      </c>
      <c r="G30" s="72">
        <v>14.149579233076848</v>
      </c>
      <c r="H30" s="77">
        <v>47.802090000000021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913255.34633999935</v>
      </c>
      <c r="E33" s="142">
        <v>924812.95060999959</v>
      </c>
      <c r="F33" s="143">
        <v>57.762440960774363</v>
      </c>
      <c r="G33" s="143">
        <v>53.666938893160534</v>
      </c>
      <c r="H33" s="141">
        <v>1.2655391853241249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26345.248149999999</v>
      </c>
      <c r="E36" s="150">
        <v>16831.142829999997</v>
      </c>
      <c r="F36" s="150">
        <v>51.188165613538452</v>
      </c>
      <c r="G36" s="150">
        <v>16.464935980595268</v>
      </c>
      <c r="H36" s="128">
        <v>-36.113174056400005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431232.04047000001</v>
      </c>
      <c r="E37" s="150">
        <v>169421.51347999999</v>
      </c>
      <c r="F37" s="150">
        <v>81.274930786590403</v>
      </c>
      <c r="G37" s="150">
        <v>65.300356148938533</v>
      </c>
      <c r="H37" s="128">
        <v>-60.712215795619592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P16" sqref="P16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(janeiro-agosto)","TABLE VII - Regional Gov. expenditure by functional classification (january-august)")</f>
        <v>QUADRO VII - Despesa do Governo Regional, por classificação funcional (janeiro-agosto)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0">
        <v>2022</v>
      </c>
      <c r="E3" s="333">
        <v>2023</v>
      </c>
      <c r="F3" s="334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122823.56258999996</v>
      </c>
      <c r="E5" s="34">
        <v>139427.00691000003</v>
      </c>
      <c r="F5" s="34">
        <v>15.076238586195723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7404.8950100000002</v>
      </c>
      <c r="E7" s="34">
        <v>7195.7727799999966</v>
      </c>
      <c r="F7" s="34">
        <v>0.77807872124343791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239413.67184999981</v>
      </c>
      <c r="E8" s="34">
        <v>170521.05533000012</v>
      </c>
      <c r="F8" s="34">
        <v>18.438437223173143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10649.396199999997</v>
      </c>
      <c r="E9" s="34">
        <v>10941.911019999998</v>
      </c>
      <c r="F9" s="34">
        <v>1.1831485505023247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32811.255339999989</v>
      </c>
      <c r="E10" s="34">
        <v>52703.038950000016</v>
      </c>
      <c r="F10" s="34">
        <v>5.6987782140418188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229689.04674000002</v>
      </c>
      <c r="E11" s="34">
        <v>250612.5068</v>
      </c>
      <c r="F11" s="34">
        <v>27.098723761891279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18544.657560000003</v>
      </c>
      <c r="E12" s="34">
        <v>20583.714379999976</v>
      </c>
      <c r="F12" s="34">
        <v>2.2257164939594651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241108.33479999946</v>
      </c>
      <c r="E13" s="34">
        <v>259872.99360000007</v>
      </c>
      <c r="F13" s="34">
        <v>28.100059955755341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10810.526250000001</v>
      </c>
      <c r="E14" s="34">
        <v>12954.95084</v>
      </c>
      <c r="F14" s="34">
        <v>1.4008184932374708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913255.34633999923</v>
      </c>
      <c r="E17" s="145">
        <v>924812.95061000017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26345.248149999999</v>
      </c>
      <c r="E20" s="152">
        <v>16831.142829999997</v>
      </c>
      <c r="F20" s="152">
        <v>1.8199510310596638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431232.04047000001</v>
      </c>
      <c r="E21" s="283">
        <v>169421.51347999999</v>
      </c>
      <c r="F21" s="283">
        <v>18.319543791882538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2023-09-27T09:34:19Z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