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5\Agosto\"/>
    </mc:Choice>
  </mc:AlternateContent>
  <xr:revisionPtr revIDLastSave="0" documentId="13_ncr:1_{896752DC-20DA-4F84-A745-BC2EA08DBBCF}" xr6:coauthVersionLast="47" xr6:coauthVersionMax="47" xr10:uidLastSave="{00000000-0000-0000-0000-000000000000}"/>
  <bookViews>
    <workbookView xWindow="-28920" yWindow="-120" windowWidth="29040" windowHeight="1572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Q8_D_Est_Org!$C$1:$N$45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Q8_D_Est_Org!$B$1:$AE$46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Q8_D_Est_Org!$B$1:$AE$46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Q8_D_Est_Org!$O:$AC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Q8_D_Est_Org!$B$1:$AE$46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Q8_D_Est_Org!$B$1:$AE$46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Q8_D_Est_Org!$O:$AC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Q8_D_Est_Org!$B$1:$AE$46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Q8_D_Est_Org!$O:$AC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Q8_D_Est_Org!$B$1:$AE$46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Q8_D_Est_Org!$O:$AC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Q8_D_Est_Org!$B$1:$AE$46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Q8_D_Est_Org!$O:$AC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Q8_D_Est_Org!$B$1:$AE$46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Q8_D_Est_Org!$O:$AC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Q8_D_Est_Org!$B$1:$AE$46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Q8_D_Est_Org!$D$1:$N$46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Q8_D_Est_Org!$O:$AC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Q8_D_Est_Org!$B$1:$AE$46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Q8_D_Est_Org!$O:$AC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Q8_D_Est_Org!$B$1:$AE$46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" i="53" l="1"/>
  <c r="G3" i="12"/>
  <c r="K3" i="12"/>
  <c r="H3" i="12"/>
  <c r="C2" i="10"/>
  <c r="C2" i="11"/>
  <c r="C2" i="12"/>
  <c r="C2" i="39"/>
  <c r="C2" i="13"/>
  <c r="C2" i="51"/>
  <c r="C2" i="61"/>
  <c r="D3" i="61"/>
  <c r="C2" i="38"/>
  <c r="D42" i="38"/>
  <c r="C41" i="38"/>
  <c r="D33" i="38"/>
  <c r="C32" i="38"/>
  <c r="D24" i="38"/>
  <c r="C23" i="38"/>
  <c r="D3" i="38"/>
  <c r="C2" i="32"/>
  <c r="C2" i="8"/>
  <c r="C2" i="60"/>
  <c r="C2" i="9"/>
  <c r="C2" i="50"/>
  <c r="F3" i="11" l="1"/>
  <c r="G3" i="32"/>
  <c r="L3" i="12"/>
  <c r="M3" i="12"/>
  <c r="I3" i="12" l="1"/>
  <c r="J3" i="12"/>
  <c r="A15" i="54" l="1"/>
  <c r="A18" i="54" l="1"/>
  <c r="A17" i="54"/>
  <c r="A16" i="54"/>
  <c r="F3" i="50"/>
  <c r="G3" i="50"/>
  <c r="G3" i="9"/>
  <c r="F3" i="9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P2" i="12"/>
  <c r="N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<sst xmlns="http://schemas.openxmlformats.org/spreadsheetml/2006/main" count="127" uniqueCount="103">
  <si>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</si>
  <si>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</si>
  <si>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</si>
  <si>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</si>
  <si>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</si>
  <si>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</si>
  <si>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</si>
  <si>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</si>
  <si>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</si>
  <si>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</si>
  <si>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</si>
  <si>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</si>
  <si>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</si>
  <si>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</si>
  <si>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</si>
  <si>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</si>
  <si>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</si>
  <si>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</si>
  <si>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</si>
  <si>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</si>
  <si>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</si>
  <si>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</si>
  <si>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</si>
  <si>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</si>
  <si>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</si>
  <si>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</si>
  <si>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</si>
  <si>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</si>
  <si>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</si>
  <si>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</si>
  <si>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</si>
  <si>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</si>
  <si>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</si>
  <si>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</si>
  <si>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</si>
  <si>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</si>
  <si>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</si>
  <si>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</si>
  <si>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</si>
  <si>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</si>
  <si>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</si>
  <si>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</si>
  <si>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</si>
  <si>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Direção Regional do Ordenamento do Território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</si>
  <si>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</si>
  <si>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</si>
  <si>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</si>
  <si>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</si>
  <si>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</si>
  <si>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</si>
  <si>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</si>
  <si>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</si>
  <si>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</si>
  <si>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</si>
  <si>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</si>
  <si>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</si>
  <si>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</si>
  <si>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</si>
  <si>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</si>
  <si>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</si>
  <si>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</si>
  <si>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</si>
  <si>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</si>
  <si>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</si>
  <si>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</si>
  <si>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</si>
  <si>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Planeamento, Recursos e Infraestruturas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</si>
  <si>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</si>
  <si>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</si>
  <si>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</si>
  <si>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</si>
  <si>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</si>
  <si>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</si>
  <si>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</si>
  <si>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</si>
  <si>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</si>
  <si>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</si>
  <si>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Direção Regional de Pescas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</si>
  <si>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</si>
  <si>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</si>
  <si>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</si>
  <si>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</si>
  <si>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CARAM -Centro de Abate da Região Autónoma da Madeira, EPERAM</t>
  </si>
  <si>
    <t>Secretaria Regional de Equipamentos e Infraestruturas</t>
  </si>
  <si>
    <t>Direção Regional do Ambiente e Mar</t>
  </si>
  <si>
    <t>Secretaria Regional de Economia</t>
  </si>
  <si>
    <t>Gabinete da Secretaria Regional</t>
  </si>
  <si>
    <t>Direção Regional de Competitividade, Inovação e Sustentabilidade</t>
  </si>
  <si>
    <t>Gabinete para a Conformidade Digital, Proteção de Dados e Cibersegurança</t>
  </si>
  <si>
    <t>Secretaria Regional de Agricultura e Pescas</t>
  </si>
  <si>
    <t>Direção Regional de Veterinária e Bem-estar Animal</t>
  </si>
  <si>
    <t>Autoridade Regional para as Condições de Trabalho</t>
  </si>
  <si>
    <t>Direção Regional de Energia</t>
  </si>
  <si>
    <t>Direção Regional dos Transportes e da Mobilidade Terrestre</t>
  </si>
  <si>
    <t>Instituto das Artes da Madeira</t>
  </si>
  <si>
    <t>Invest-Madeira- Agência para a Internacionalização e Investimento</t>
  </si>
  <si>
    <t>Horários do Funchal - Transportes Públicos S.A.</t>
  </si>
  <si>
    <t>TIIM - Transportes Integrados e Intermodais da Madeira, S.A.</t>
  </si>
  <si>
    <t>Secretaria Regional de Turismo, Ambiente e Cultura</t>
  </si>
  <si>
    <t>ARDITI-Agencia Regional Para Desenvolvimento da Inv. Tecnologica e Inovaçao</t>
  </si>
  <si>
    <t>IHM-Investimentos Habitacionais da Madeira, EPERAM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</si>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</sst>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4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0" fontId="70" fillId="0" borderId="38" xfId="0" applyFont="1" applyBorder="1"/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0" fontId="70" fillId="0" borderId="0" xfId="0" applyFont="1"/>
    <xf numFmtId="167" fontId="26" fillId="0" borderId="125" xfId="56" applyNumberFormat="1" applyFont="1" applyBorder="1" applyAlignment="1">
      <alignment horizontal="center" vertical="center" wrapText="1"/>
    </xf>
    <xf numFmtId="0" fontId="71" fillId="0" borderId="12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5" fillId="0" borderId="25" xfId="62" applyFont="1" applyBorder="1" applyAlignment="1">
      <alignment horizontal="center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21" xfId="62" applyFont="1" applyBorder="1" applyAlignment="1">
      <alignment horizontal="center" vertical="center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  <xf numFmtId="0" fontId="65" fillId="0" borderId="25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09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2025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/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86"/>
  <sheetViews>
    <sheetView showGridLines="0" topLeftCell="A27" zoomScale="120" zoomScaleNormal="120" zoomScalePageLayoutView="115" workbookViewId="0">
      <selection activeCell="N42" sqref="N4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10" width="9.7109375" style="187" customWidth="1"/>
    <col min="11" max="11" width="8.42578125" style="187" customWidth="1"/>
    <col min="12" max="12" width="9.5703125" style="187" customWidth="1"/>
    <col min="13" max="13" width="11.85546875" style="187" customWidth="1"/>
    <col min="14" max="14" width="10.85546875" style="187" customWidth="1"/>
    <col min="15" max="15" width="7.28515625" style="186" customWidth="1"/>
    <col min="16" max="26" width="11.42578125" style="186" customWidth="1"/>
    <col min="27" max="27" width="9.140625" style="186" customWidth="1"/>
    <col min="28" max="31" width="11.42578125" style="186" customWidth="1"/>
    <col min="32" max="32" width="22.28515625" style="186" customWidth="1"/>
    <col min="33" max="36" width="8.85546875" style="186"/>
    <col min="37" max="40" width="9.140625" style="186" customWidth="1"/>
    <col min="41" max="42" width="8.85546875" style="186"/>
    <col min="43" max="16384" width="8.85546875" style="187"/>
  </cols>
  <sheetData>
    <row r="1" spans="2:16">
      <c r="C1" s="184"/>
      <c r="D1" s="184"/>
      <c r="E1" s="184"/>
      <c r="F1" s="185"/>
      <c r="G1" s="185"/>
      <c r="H1" s="185"/>
      <c r="I1" s="185"/>
      <c r="J1" s="185"/>
      <c r="K1" s="184"/>
      <c r="L1" s="184"/>
      <c r="M1" s="184"/>
      <c r="N1" s="184"/>
    </row>
    <row r="2" spans="2:16" ht="13.5" customHeight="1">
      <c r="B2" s="188"/>
      <c r="C2" s="256" t="str">
        <f>+IF(Índice!$D$2=1,"QUADRO VIII - Execução orçamental por classificação cruzada orgânica e económica (janeiro-julho)","TABLE VIII - Budget execution by organic and economic cross-classification (january-july)")</f>
        <v>TABLE VIII - Budget execution by organic and economic cross-classification (january-july)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52" t="str">
        <f>+IF(Índice!$D$2=1,"€ Milhares","€ Thousands")</f>
        <v>€ Thousands</v>
      </c>
      <c r="P2" s="190" t="str">
        <f>+IF(Índice!$D$2=1,"índice","Index")</f>
        <v>Index</v>
      </c>
    </row>
    <row r="3" spans="2:16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322" t="str">
        <f>+IF(Índice!$D$2=1,"Turismo, Ambiente e Cultura","Tourism, Enviroment and Culture")</f>
        <v>Tourism, Enviroment and Culture</v>
      </c>
      <c r="H3" s="322" t="str">
        <f>+IF(Índice!$D$2=1,"Economia","Economy")</f>
        <v>Economy</v>
      </c>
      <c r="I3" s="192" t="str">
        <f>+IF(Índice!$D$2=1,"Saúde e Proteção Civil","Health and Civil Protection")</f>
        <v>Health and Civil Protection</v>
      </c>
      <c r="J3" s="192" t="str">
        <f>+IF(Índice!$D$2=1,"Finanças","Finances")</f>
        <v>Finances</v>
      </c>
      <c r="K3" s="192" t="str">
        <f>+IF(Índice!$D$2=1,"Agricultura, Pescas e Ambiente","Agriculture and Fisheries")</f>
        <v>Agriculture and Fisheries</v>
      </c>
      <c r="L3" s="192" t="str">
        <f>+IF(Índice!$D$2=1,"Inclusão, Trabalho e Jventude","Inclusion, Labor and Youth")</f>
        <v>Inclusion, Labor and Youth</v>
      </c>
      <c r="M3" s="192" t="str">
        <f>+IF(Índice!$D$2=1,"Equipamentos e Infraestruturas","Equipment and infrastructures")</f>
        <v>Equipment and infrastructures</v>
      </c>
      <c r="N3" s="193" t="s">
        <v>5</v>
      </c>
    </row>
    <row r="4" spans="2:16" ht="27" customHeight="1">
      <c r="C4" s="253" t="str">
        <f>+IF(Índice!$D$2=1,"Despesa corrente","Current expenditure")</f>
        <v>Current expenditure</v>
      </c>
      <c r="D4" s="194">
        <v>9125</v>
      </c>
      <c r="E4" s="194">
        <v>1602.1845800000001</v>
      </c>
      <c r="F4" s="194">
        <v>300751.23931000009</v>
      </c>
      <c r="G4" s="194">
        <v>27962.698720000004</v>
      </c>
      <c r="H4" s="194">
        <v>6877.773720000001</v>
      </c>
      <c r="I4" s="194">
        <v>299723.34115000005</v>
      </c>
      <c r="J4" s="194">
        <v>136250.55222000004</v>
      </c>
      <c r="K4" s="194">
        <v>22180.57459</v>
      </c>
      <c r="L4" s="194">
        <v>14731.847929999998</v>
      </c>
      <c r="M4" s="194">
        <v>103108.23581000001</v>
      </c>
      <c r="N4" s="194">
        <v>922313.44803000032</v>
      </c>
    </row>
    <row r="5" spans="2:16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1281.9405899999999</v>
      </c>
      <c r="F5" s="196">
        <v>238826.53530000013</v>
      </c>
      <c r="G5" s="196">
        <v>11928.40567</v>
      </c>
      <c r="H5" s="196">
        <v>2237.4086100000004</v>
      </c>
      <c r="I5" s="196">
        <v>3653.1283199999993</v>
      </c>
      <c r="J5" s="196">
        <v>22215.130209999996</v>
      </c>
      <c r="K5" s="196">
        <v>16073.382609999997</v>
      </c>
      <c r="L5" s="196">
        <v>5329.5803899999992</v>
      </c>
      <c r="M5" s="196">
        <v>11739.350849999997</v>
      </c>
      <c r="N5" s="196">
        <v>313284.86255000014</v>
      </c>
      <c r="O5" s="21"/>
    </row>
    <row r="6" spans="2:16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7">
        <v>979.91822999999999</v>
      </c>
      <c r="F6" s="197">
        <v>190403.84526000012</v>
      </c>
      <c r="G6" s="197">
        <v>9460.7611000000015</v>
      </c>
      <c r="H6" s="197">
        <v>1816.9287700000002</v>
      </c>
      <c r="I6" s="197">
        <v>2913.7873199999995</v>
      </c>
      <c r="J6" s="197">
        <v>16314.881379999992</v>
      </c>
      <c r="K6" s="197">
        <v>12445.545829999995</v>
      </c>
      <c r="L6" s="197">
        <v>4174.4671799999996</v>
      </c>
      <c r="M6" s="197">
        <v>9193.6011299999973</v>
      </c>
      <c r="N6" s="197">
        <v>247703.73620000013</v>
      </c>
    </row>
    <row r="7" spans="2:16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7">
        <v>35.639899999999997</v>
      </c>
      <c r="F7" s="197">
        <v>7448.8532600000008</v>
      </c>
      <c r="G7" s="197">
        <v>422.95926999999995</v>
      </c>
      <c r="H7" s="197">
        <v>53.6173</v>
      </c>
      <c r="I7" s="197">
        <v>93.001609999999999</v>
      </c>
      <c r="J7" s="197">
        <v>2176.5619900000002</v>
      </c>
      <c r="K7" s="197">
        <v>821.22627999999997</v>
      </c>
      <c r="L7" s="197">
        <v>255.96257000000003</v>
      </c>
      <c r="M7" s="197">
        <v>521.91529999999989</v>
      </c>
      <c r="N7" s="197">
        <v>11829.737480000002</v>
      </c>
    </row>
    <row r="8" spans="2:16" ht="15" customHeight="1">
      <c r="B8" s="195"/>
      <c r="C8" s="109" t="str">
        <f>+IF(Índice!$D$2=1,"Segurança social","Social security")</f>
        <v>Social security</v>
      </c>
      <c r="D8" s="197">
        <v>0</v>
      </c>
      <c r="E8" s="197">
        <v>266.38245999999998</v>
      </c>
      <c r="F8" s="197">
        <v>40973.836780000005</v>
      </c>
      <c r="G8" s="197">
        <v>2044.6852999999999</v>
      </c>
      <c r="H8" s="197">
        <v>366.86253999999991</v>
      </c>
      <c r="I8" s="197">
        <v>646.33938999999998</v>
      </c>
      <c r="J8" s="197">
        <v>3723.6868400000008</v>
      </c>
      <c r="K8" s="197">
        <v>2806.6105000000007</v>
      </c>
      <c r="L8" s="197">
        <v>899.15064000000007</v>
      </c>
      <c r="M8" s="197">
        <v>2023.8344199999999</v>
      </c>
      <c r="N8" s="197">
        <v>53751.38887000001</v>
      </c>
    </row>
    <row r="9" spans="2:16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299.22503</v>
      </c>
      <c r="F9" s="196">
        <v>10907.162849999993</v>
      </c>
      <c r="G9" s="196">
        <v>5422.6218300000028</v>
      </c>
      <c r="H9" s="196">
        <v>550.75724000000002</v>
      </c>
      <c r="I9" s="196">
        <v>539.32221000000004</v>
      </c>
      <c r="J9" s="196">
        <v>24045.215500000013</v>
      </c>
      <c r="K9" s="196">
        <v>1074.2330099999997</v>
      </c>
      <c r="L9" s="196">
        <v>364.96638999999993</v>
      </c>
      <c r="M9" s="196">
        <v>67385.576230000006</v>
      </c>
      <c r="N9" s="196">
        <v>110589.08029000001</v>
      </c>
    </row>
    <row r="10" spans="2:16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7">
        <v>42.57544</v>
      </c>
      <c r="F10" s="197">
        <v>6673.6947899999968</v>
      </c>
      <c r="G10" s="197">
        <v>136.22386000000003</v>
      </c>
      <c r="H10" s="197">
        <v>6.1151700000000009</v>
      </c>
      <c r="I10" s="197">
        <v>60.420229999999997</v>
      </c>
      <c r="J10" s="197">
        <v>558.47330999999997</v>
      </c>
      <c r="K10" s="197">
        <v>116.03736000000002</v>
      </c>
      <c r="L10" s="197">
        <v>10.01421</v>
      </c>
      <c r="M10" s="197">
        <v>865.26286999999991</v>
      </c>
      <c r="N10" s="197">
        <v>8468.8172399999967</v>
      </c>
    </row>
    <row r="11" spans="2:16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7">
        <v>256.64958999999999</v>
      </c>
      <c r="F11" s="197">
        <v>4233.4680599999956</v>
      </c>
      <c r="G11" s="197">
        <v>5286.3979700000027</v>
      </c>
      <c r="H11" s="197">
        <v>544.64206999999999</v>
      </c>
      <c r="I11" s="197">
        <v>478.90198000000004</v>
      </c>
      <c r="J11" s="197">
        <v>23486.742190000012</v>
      </c>
      <c r="K11" s="197">
        <v>958.19564999999977</v>
      </c>
      <c r="L11" s="197">
        <v>354.95217999999994</v>
      </c>
      <c r="M11" s="197">
        <v>66520.31336</v>
      </c>
      <c r="N11" s="197">
        <v>102120.26305000001</v>
      </c>
    </row>
    <row r="12" spans="2:16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0.27295999999999998</v>
      </c>
      <c r="F12" s="198">
        <v>8.0955399999999997</v>
      </c>
      <c r="G12" s="198">
        <v>4.4740000000000002E-2</v>
      </c>
      <c r="H12" s="198">
        <v>0</v>
      </c>
      <c r="I12" s="198">
        <v>0.11090000000000001</v>
      </c>
      <c r="J12" s="198">
        <v>84811.355740000014</v>
      </c>
      <c r="K12" s="198">
        <v>0</v>
      </c>
      <c r="L12" s="198">
        <v>0</v>
      </c>
      <c r="M12" s="198">
        <v>0</v>
      </c>
      <c r="N12" s="198">
        <v>84819.879880000008</v>
      </c>
    </row>
    <row r="13" spans="2:16" ht="15" customHeight="1">
      <c r="B13" s="195"/>
      <c r="C13" s="104" t="str">
        <f>+IF(Índice!$D$2=1,"Transferências correntes","Current transfers")</f>
        <v>Current transfers</v>
      </c>
      <c r="D13" s="196">
        <v>9125</v>
      </c>
      <c r="E13" s="196">
        <v>20.745999999999999</v>
      </c>
      <c r="F13" s="196">
        <v>50983.796739999991</v>
      </c>
      <c r="G13" s="196">
        <v>10609.58943</v>
      </c>
      <c r="H13" s="196">
        <v>4089.5078699999999</v>
      </c>
      <c r="I13" s="196">
        <v>295527.22761000006</v>
      </c>
      <c r="J13" s="196">
        <v>4708.1965899999996</v>
      </c>
      <c r="K13" s="196">
        <v>3889.1253700000002</v>
      </c>
      <c r="L13" s="196">
        <v>9037.2805499999995</v>
      </c>
      <c r="M13" s="196">
        <v>23827.733979999997</v>
      </c>
      <c r="N13" s="196">
        <v>411818.2041400001</v>
      </c>
    </row>
    <row r="14" spans="2:16" ht="15" customHeight="1">
      <c r="B14" s="195"/>
      <c r="C14" s="109" t="str">
        <f>IF(Índice!$D$2=1,"Administração Pública","Public Administration")</f>
        <v>Public Administration</v>
      </c>
      <c r="D14" s="200">
        <v>9125</v>
      </c>
      <c r="E14" s="200">
        <v>0</v>
      </c>
      <c r="F14" s="200">
        <v>14266.433299999999</v>
      </c>
      <c r="G14" s="200">
        <v>5357.2815499999997</v>
      </c>
      <c r="H14" s="200">
        <v>3478.7038699999998</v>
      </c>
      <c r="I14" s="200">
        <v>295273.14511000004</v>
      </c>
      <c r="J14" s="200">
        <v>4553.0611699999999</v>
      </c>
      <c r="K14" s="200">
        <v>3215.4003100000004</v>
      </c>
      <c r="L14" s="200">
        <v>3116.1985500000001</v>
      </c>
      <c r="M14" s="200">
        <v>23797.971419999998</v>
      </c>
      <c r="N14" s="200">
        <v>362183.19528000004</v>
      </c>
    </row>
    <row r="15" spans="2:16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</row>
    <row r="16" spans="2:16" ht="15" customHeight="1">
      <c r="B16" s="195"/>
      <c r="C16" s="201" t="str">
        <f>IF(Índice!$D$2=1,"Administração Regional","Regional Administration")</f>
        <v>Regional Administration</v>
      </c>
      <c r="D16" s="198">
        <v>9125</v>
      </c>
      <c r="E16" s="198">
        <v>0</v>
      </c>
      <c r="F16" s="198">
        <v>14266.433299999999</v>
      </c>
      <c r="G16" s="198">
        <v>5357.2815499999997</v>
      </c>
      <c r="H16" s="198">
        <v>3478.7038699999998</v>
      </c>
      <c r="I16" s="198">
        <v>295273.14511000004</v>
      </c>
      <c r="J16" s="198">
        <v>4553.0611699999999</v>
      </c>
      <c r="K16" s="198">
        <v>3215.4003100000004</v>
      </c>
      <c r="L16" s="198">
        <v>3116.1985500000001</v>
      </c>
      <c r="M16" s="198">
        <v>23797.971419999998</v>
      </c>
      <c r="N16" s="198">
        <v>362183.19528000004</v>
      </c>
    </row>
    <row r="17" spans="2:14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</row>
    <row r="18" spans="2:14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</row>
    <row r="19" spans="2:14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20.745999999999999</v>
      </c>
      <c r="F19" s="200">
        <v>36717.363439999994</v>
      </c>
      <c r="G19" s="200">
        <v>5252.3078799999994</v>
      </c>
      <c r="H19" s="200">
        <v>610.80400000000009</v>
      </c>
      <c r="I19" s="200">
        <v>254.08250000000001</v>
      </c>
      <c r="J19" s="200">
        <v>155.13542000000001</v>
      </c>
      <c r="K19" s="200">
        <v>673.72505999999987</v>
      </c>
      <c r="L19" s="200">
        <v>5921.0820000000003</v>
      </c>
      <c r="M19" s="200">
        <v>29.762560000000001</v>
      </c>
      <c r="N19" s="200">
        <v>49635.008859999994</v>
      </c>
    </row>
    <row r="20" spans="2:14" hidden="1">
      <c r="B20" s="195"/>
      <c r="C20" s="187">
        <v>0</v>
      </c>
      <c r="D20" s="198">
        <v>0</v>
      </c>
      <c r="E20" s="198">
        <v>0</v>
      </c>
      <c r="F20" s="198">
        <v>13137.172090000004</v>
      </c>
      <c r="G20" s="198">
        <v>0.17499999999999999</v>
      </c>
      <c r="H20" s="198">
        <v>293.7</v>
      </c>
      <c r="I20" s="198">
        <v>0</v>
      </c>
      <c r="J20" s="198">
        <v>0</v>
      </c>
      <c r="K20" s="198">
        <v>0</v>
      </c>
      <c r="L20" s="198">
        <v>0</v>
      </c>
      <c r="M20" s="198">
        <v>0.56999999999999995</v>
      </c>
      <c r="N20" s="198">
        <v>13431.617090000003</v>
      </c>
    </row>
    <row r="21" spans="2:14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</row>
    <row r="22" spans="2:14" hidden="1">
      <c r="B22" s="195"/>
      <c r="C22" s="104">
        <v>0</v>
      </c>
      <c r="D22" s="198">
        <v>0</v>
      </c>
      <c r="E22" s="198">
        <v>20.5</v>
      </c>
      <c r="F22" s="198">
        <v>20457.137549999992</v>
      </c>
      <c r="G22" s="198">
        <v>5078.0006799999992</v>
      </c>
      <c r="H22" s="198">
        <v>315</v>
      </c>
      <c r="I22" s="198">
        <v>231.75</v>
      </c>
      <c r="J22" s="198">
        <v>49.089959999999998</v>
      </c>
      <c r="K22" s="198">
        <v>654.95567999999992</v>
      </c>
      <c r="L22" s="198">
        <v>3189.9256300000002</v>
      </c>
      <c r="M22" s="198">
        <v>0</v>
      </c>
      <c r="N22" s="198">
        <v>29996.359499999991</v>
      </c>
    </row>
    <row r="23" spans="2:14" hidden="1">
      <c r="B23" s="195"/>
      <c r="C23" s="104">
        <v>0</v>
      </c>
      <c r="D23" s="198">
        <v>0</v>
      </c>
      <c r="E23" s="198">
        <v>0.246</v>
      </c>
      <c r="F23" s="198">
        <v>3119.7537999999995</v>
      </c>
      <c r="G23" s="198">
        <v>144.54119999999998</v>
      </c>
      <c r="H23" s="198">
        <v>2.1040000000000001</v>
      </c>
      <c r="I23" s="198">
        <v>22.3325</v>
      </c>
      <c r="J23" s="198">
        <v>91.234459999999999</v>
      </c>
      <c r="K23" s="198">
        <v>18.769380000000002</v>
      </c>
      <c r="L23" s="198">
        <v>2731.1563699999997</v>
      </c>
      <c r="M23" s="198">
        <v>29.19256</v>
      </c>
      <c r="N23" s="198">
        <v>6159.3302699999995</v>
      </c>
    </row>
    <row r="24" spans="2:14" hidden="1">
      <c r="B24" s="195"/>
      <c r="C24" s="187">
        <v>0</v>
      </c>
      <c r="D24" s="198">
        <v>0</v>
      </c>
      <c r="E24" s="198">
        <v>0</v>
      </c>
      <c r="F24" s="198">
        <v>3.3</v>
      </c>
      <c r="G24" s="198">
        <v>29.591000000000001</v>
      </c>
      <c r="H24" s="198">
        <v>0</v>
      </c>
      <c r="I24" s="198">
        <v>0</v>
      </c>
      <c r="J24" s="198">
        <v>14.811</v>
      </c>
      <c r="K24" s="198">
        <v>0</v>
      </c>
      <c r="L24" s="198">
        <v>0</v>
      </c>
      <c r="M24" s="198">
        <v>0</v>
      </c>
      <c r="N24" s="198">
        <v>47.701999999999998</v>
      </c>
    </row>
    <row r="25" spans="2:14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1096.7003</v>
      </c>
      <c r="L25" s="198">
        <v>0</v>
      </c>
      <c r="M25" s="198">
        <v>134.73894000000001</v>
      </c>
      <c r="N25" s="198">
        <v>1231.4392399999999</v>
      </c>
    </row>
    <row r="26" spans="2:14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25.648879999999998</v>
      </c>
      <c r="G26" s="198">
        <v>2.0370500000000002</v>
      </c>
      <c r="H26" s="198">
        <v>0.1</v>
      </c>
      <c r="I26" s="198">
        <v>3.5521099999999999</v>
      </c>
      <c r="J26" s="198">
        <v>470.65418</v>
      </c>
      <c r="K26" s="198">
        <v>47.133300000000006</v>
      </c>
      <c r="L26" s="198">
        <v>2.06E-2</v>
      </c>
      <c r="M26" s="198">
        <v>20.835810000000002</v>
      </c>
      <c r="N26" s="198">
        <v>569.98192999999992</v>
      </c>
    </row>
    <row r="27" spans="2:14" ht="24.95" customHeight="1">
      <c r="B27" s="195"/>
      <c r="C27" s="202" t="str">
        <f>+IF(Índice!$D$2=1,"Despesa de capital","Capital expenditure")</f>
        <v>Capital expenditure</v>
      </c>
      <c r="D27" s="32">
        <v>20</v>
      </c>
      <c r="E27" s="32">
        <v>3.2188000000000003</v>
      </c>
      <c r="F27" s="32">
        <v>2192.0242799999996</v>
      </c>
      <c r="G27" s="32">
        <v>947.52294000000006</v>
      </c>
      <c r="H27" s="32">
        <v>3113.1045900000004</v>
      </c>
      <c r="I27" s="32">
        <v>902.59331999999995</v>
      </c>
      <c r="J27" s="32">
        <v>10291.853079999999</v>
      </c>
      <c r="K27" s="32">
        <v>4249.2775000000001</v>
      </c>
      <c r="L27" s="32">
        <v>6338.6377499999999</v>
      </c>
      <c r="M27" s="32">
        <v>58225.802760000006</v>
      </c>
      <c r="N27" s="32">
        <v>86284.03502000001</v>
      </c>
    </row>
    <row r="28" spans="2:14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3.2188000000000003</v>
      </c>
      <c r="F28" s="198">
        <v>1953.7654499999996</v>
      </c>
      <c r="G28" s="198">
        <v>947.52294000000006</v>
      </c>
      <c r="H28" s="198">
        <v>32.817999999999998</v>
      </c>
      <c r="I28" s="198">
        <v>3.9858099999999999</v>
      </c>
      <c r="J28" s="198">
        <v>7007.9586099999988</v>
      </c>
      <c r="K28" s="198">
        <v>72.654300000000006</v>
      </c>
      <c r="L28" s="198">
        <v>615.07846999999992</v>
      </c>
      <c r="M28" s="198">
        <v>31432.271430000004</v>
      </c>
      <c r="N28" s="198">
        <v>42069.273810000006</v>
      </c>
    </row>
    <row r="29" spans="2:14" ht="15" customHeight="1">
      <c r="C29" s="104" t="str">
        <f>+IF(Índice!$D$2=1,"Transferências capital","Capital transfers")</f>
        <v>Capital transfers</v>
      </c>
      <c r="D29" s="196">
        <v>20</v>
      </c>
      <c r="E29" s="196">
        <v>0</v>
      </c>
      <c r="F29" s="196">
        <v>238.25882999999999</v>
      </c>
      <c r="G29" s="196">
        <v>0</v>
      </c>
      <c r="H29" s="196">
        <v>3080.2865900000002</v>
      </c>
      <c r="I29" s="196">
        <v>898.60750999999993</v>
      </c>
      <c r="J29" s="196">
        <v>3283.8944700000002</v>
      </c>
      <c r="K29" s="196">
        <v>4176.6232</v>
      </c>
      <c r="L29" s="196">
        <v>5723.5592800000004</v>
      </c>
      <c r="M29" s="196">
        <v>26793.531330000005</v>
      </c>
      <c r="N29" s="196">
        <v>44214.761210000011</v>
      </c>
    </row>
    <row r="30" spans="2:14" ht="15" customHeight="1">
      <c r="C30" s="109" t="str">
        <f>IF(Índice!$D$2=1,"Administração Pública","Public Administration")</f>
        <v>Public Administration</v>
      </c>
      <c r="D30" s="200">
        <v>20</v>
      </c>
      <c r="E30" s="200">
        <v>0</v>
      </c>
      <c r="F30" s="200">
        <v>76.489109999999997</v>
      </c>
      <c r="G30" s="200">
        <v>0</v>
      </c>
      <c r="H30" s="200">
        <v>3080.2865900000002</v>
      </c>
      <c r="I30" s="200">
        <v>898.60750999999993</v>
      </c>
      <c r="J30" s="200">
        <v>943.89446999999996</v>
      </c>
      <c r="K30" s="200">
        <v>4176.6232</v>
      </c>
      <c r="L30" s="200">
        <v>70.910339999999991</v>
      </c>
      <c r="M30" s="200">
        <v>26793.531330000005</v>
      </c>
      <c r="N30" s="200">
        <v>36060.342550000008</v>
      </c>
    </row>
    <row r="31" spans="2:14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4176.6232</v>
      </c>
      <c r="L31" s="198">
        <v>0</v>
      </c>
      <c r="M31" s="198">
        <v>0</v>
      </c>
      <c r="N31" s="198">
        <v>4176.6232</v>
      </c>
    </row>
    <row r="32" spans="2:14" ht="15" customHeight="1">
      <c r="C32" s="201" t="str">
        <f>IF(Índice!$D$2=1,"Administração Regional","Regional Administration")</f>
        <v>Regional Administration</v>
      </c>
      <c r="D32" s="198">
        <v>20</v>
      </c>
      <c r="E32" s="198">
        <v>0</v>
      </c>
      <c r="F32" s="198">
        <v>76.489109999999997</v>
      </c>
      <c r="G32" s="198">
        <v>0</v>
      </c>
      <c r="H32" s="198">
        <v>3080.2865900000002</v>
      </c>
      <c r="I32" s="198">
        <v>898.60750999999993</v>
      </c>
      <c r="J32" s="198">
        <v>943.89446999999996</v>
      </c>
      <c r="K32" s="198">
        <v>0</v>
      </c>
      <c r="L32" s="198">
        <v>70.910339999999991</v>
      </c>
      <c r="M32" s="198">
        <v>26793.531330000005</v>
      </c>
      <c r="N32" s="198">
        <v>31883.719350000007</v>
      </c>
    </row>
    <row r="33" spans="1:169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</row>
    <row r="34" spans="1:169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</row>
    <row r="35" spans="1:169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161.76972000000001</v>
      </c>
      <c r="G35" s="200">
        <v>0</v>
      </c>
      <c r="H35" s="200">
        <v>0</v>
      </c>
      <c r="I35" s="200">
        <v>0</v>
      </c>
      <c r="J35" s="200">
        <v>2340</v>
      </c>
      <c r="K35" s="200">
        <v>0</v>
      </c>
      <c r="L35" s="200">
        <v>5652.64894</v>
      </c>
      <c r="M35" s="200">
        <v>0</v>
      </c>
      <c r="N35" s="200">
        <v>8154.4186600000003</v>
      </c>
    </row>
    <row r="36" spans="1:169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</row>
    <row r="37" spans="1:169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1:169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9145</v>
      </c>
      <c r="E38" s="204">
        <v>1605.4033800000002</v>
      </c>
      <c r="F38" s="204">
        <v>302943.2635900001</v>
      </c>
      <c r="G38" s="204">
        <v>28910.221660000003</v>
      </c>
      <c r="H38" s="204">
        <v>9990.8783100000019</v>
      </c>
      <c r="I38" s="204">
        <v>300625.93447000004</v>
      </c>
      <c r="J38" s="204">
        <v>146542.40530000004</v>
      </c>
      <c r="K38" s="204">
        <v>26429.85209</v>
      </c>
      <c r="L38" s="204">
        <v>21070.485679999998</v>
      </c>
      <c r="M38" s="204">
        <v>161334.03857000003</v>
      </c>
      <c r="N38" s="204">
        <v>1008597.4830500002</v>
      </c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</row>
    <row r="39" spans="1:169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1:169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0</v>
      </c>
      <c r="H40" s="208">
        <v>6726.9230800000005</v>
      </c>
      <c r="I40" s="208">
        <v>32500</v>
      </c>
      <c r="J40" s="208">
        <v>0</v>
      </c>
      <c r="K40" s="208">
        <v>0</v>
      </c>
      <c r="L40" s="208">
        <v>0</v>
      </c>
      <c r="M40" s="208">
        <v>608.14400000000001</v>
      </c>
      <c r="N40" s="208">
        <v>39835.067080000001</v>
      </c>
    </row>
    <row r="41" spans="1:169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395220.11556999997</v>
      </c>
      <c r="K41" s="200">
        <v>0</v>
      </c>
      <c r="L41" s="200">
        <v>0</v>
      </c>
      <c r="M41" s="200">
        <v>0</v>
      </c>
      <c r="N41" s="200">
        <v>395220.11556999997</v>
      </c>
    </row>
    <row r="42" spans="1:169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</row>
    <row r="43" spans="1:169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</row>
    <row r="44" spans="1:169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111507.38489000002</v>
      </c>
    </row>
    <row r="45" spans="1:169" hidden="1">
      <c r="C45" s="214">
        <v>0</v>
      </c>
      <c r="D45" s="215">
        <v>0</v>
      </c>
      <c r="E45" s="215">
        <v>0</v>
      </c>
      <c r="F45" s="215">
        <v>0</v>
      </c>
      <c r="G45" s="215"/>
      <c r="H45" s="215"/>
      <c r="I45" s="215"/>
      <c r="J45" s="215">
        <v>1</v>
      </c>
      <c r="K45" s="215">
        <v>2</v>
      </c>
      <c r="L45" s="215"/>
      <c r="M45" s="215">
        <v>5</v>
      </c>
      <c r="N45" s="215">
        <v>7</v>
      </c>
    </row>
    <row r="46" spans="1:169">
      <c r="C46" s="335" t="str">
        <f>+IF(Índice!$D$2=1,"Fonte: Secretaria Regional das Finanças","Source: Regional Finance Secretariat")</f>
        <v>Source: Regional Finance Secretariat</v>
      </c>
      <c r="D46" s="335" t="str">
        <f>+IF(Índice!$D$2="PT","Fonte: Vice-Presidência do Governo Regional","Source: Vice-Presidency of the Regional Government")</f>
        <v>Source: Vice-Presidency of the Regional Government</v>
      </c>
      <c r="E46" s="335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  <c r="N46" s="198"/>
    </row>
    <row r="47" spans="1:169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1:169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3:14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3:14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3:14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3:14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4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</row>
    <row r="54" spans="3:14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</row>
    <row r="55" spans="3:14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</row>
    <row r="56" spans="3:14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</row>
    <row r="57" spans="3:14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</row>
    <row r="58" spans="3:14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</row>
    <row r="59" spans="3:14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</row>
    <row r="60" spans="3:14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</row>
    <row r="61" spans="3:14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</row>
    <row r="62" spans="3:14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</row>
    <row r="63" spans="3:14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</row>
    <row r="64" spans="3:14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</row>
    <row r="65" spans="3:14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</row>
    <row r="66" spans="3:14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</row>
    <row r="67" spans="3:14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</row>
    <row r="68" spans="3:14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</row>
    <row r="69" spans="3:14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</row>
    <row r="70" spans="3:14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</row>
    <row r="71" spans="3:14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</row>
    <row r="72" spans="3:14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</row>
    <row r="73" spans="3:14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</row>
    <row r="74" spans="3:14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3:14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</row>
    <row r="76" spans="3:14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</row>
    <row r="77" spans="3:14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</row>
    <row r="78" spans="3:14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</row>
    <row r="79" spans="3:14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</row>
    <row r="80" spans="3:14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</row>
    <row r="81" spans="3:14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</row>
    <row r="82" spans="3:14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</row>
    <row r="83" spans="3:14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</row>
    <row r="84" spans="3:14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</row>
    <row r="85" spans="3:14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</row>
    <row r="86" spans="3:14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J15" sqref="J15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(janeiro-julho)","TABLE IX - RPEs global balance (january-july)")</f>
        <v>TABLE IX - RPEs global balance (january-july)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2024</v>
      </c>
      <c r="E3" s="173">
        <v>2025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28891.820729999919</v>
      </c>
      <c r="E5" s="82">
        <v>-26647.726589999627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Source: Regional Finance Secretariat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J15" sqref="J15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(janeiro-julho)","TABLE X - ASFs and RPEs budget execution (january-july)")</f>
        <v>TABLE X - ASFs and RPEs budget execution (january-july)</v>
      </c>
      <c r="D2" s="337"/>
      <c r="E2" s="337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22077.114000000118</v>
      </c>
      <c r="E4" s="98">
        <v>-26647.726589999627</v>
      </c>
      <c r="F4" s="98">
        <v>-4570.6125899995095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376448.06941999996</v>
      </c>
      <c r="E7" s="74">
        <v>355848.03481999965</v>
      </c>
      <c r="F7" s="74">
        <v>732296.10423999967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24297.992980000119</v>
      </c>
      <c r="E8" s="74">
        <v>-26069.137849999628</v>
      </c>
      <c r="F8" s="74">
        <v>-1771.1448699995094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20347.50084000011</v>
      </c>
      <c r="E9" s="74">
        <v>-29913.971419999609</v>
      </c>
      <c r="F9" s="74">
        <v>-9566.470579999499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1729.6131600000008</v>
      </c>
      <c r="E10" s="74">
        <v>3266.2448300000033</v>
      </c>
      <c r="F10" s="74">
        <v>4995.8579900000041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Source: Regional Finance Secretariat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J15" sqref="J15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(janeiro-julho)","TABLE XI - ASFs and RPEs budget execution (january-july)")</f>
        <v>TABLE XI - ASFs and RPEs budget execution (january-july)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395599.75665000005</v>
      </c>
      <c r="E4" s="108">
        <v>271322.82874000003</v>
      </c>
      <c r="F4" s="108">
        <v>666922.58539000014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7118.9120000000003</v>
      </c>
      <c r="E8" s="74">
        <v>7156.96216</v>
      </c>
      <c r="F8" s="74">
        <v>14275.874159999999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383188.11890000006</v>
      </c>
      <c r="E9" s="74">
        <v>233216.60162000003</v>
      </c>
      <c r="F9" s="74">
        <v>616404.72052000009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33686.083650000008</v>
      </c>
      <c r="E10" s="74">
        <v>1429.76803</v>
      </c>
      <c r="F10" s="74">
        <v>35115.851680000007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348409.26438000007</v>
      </c>
      <c r="E11" s="74">
        <v>231786.83359000002</v>
      </c>
      <c r="F11" s="74">
        <v>580196.09797000012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4383.881910000001</v>
      </c>
      <c r="E12" s="74">
        <v>15345.419559999998</v>
      </c>
      <c r="F12" s="74">
        <v>19729.301469999999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908.84384</v>
      </c>
      <c r="E13" s="74">
        <v>15603.8454</v>
      </c>
      <c r="F13" s="74">
        <v>16512.68924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5146.3057500000004</v>
      </c>
      <c r="E14" s="83">
        <v>58456.068229999997</v>
      </c>
      <c r="F14" s="83">
        <v>63602.373979999997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2505.9851899999994</v>
      </c>
      <c r="F15" s="34">
        <v>2505.9851899999994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5078.3740600000001</v>
      </c>
      <c r="E16" s="34">
        <v>55875.849329999997</v>
      </c>
      <c r="F16" s="74">
        <v>60954.223389999999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3995.30177</v>
      </c>
      <c r="E17" s="34">
        <v>20331.655210000001</v>
      </c>
      <c r="F17" s="74">
        <v>24326.956980000003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1083.0722900000001</v>
      </c>
      <c r="E18" s="74">
        <v>35544.19412</v>
      </c>
      <c r="F18" s="74">
        <v>36627.266409999997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33.983330000000002</v>
      </c>
      <c r="F19" s="74">
        <v>33.983330000000002</v>
      </c>
    </row>
    <row r="20" spans="2:6" ht="11.25" customHeight="1">
      <c r="C20" s="110" t="str">
        <f>+IF(Índice!$D$2=1,"Receita efetiva","Effective revenue")</f>
        <v>Effective revenue</v>
      </c>
      <c r="D20" s="83">
        <v>400746.06240000005</v>
      </c>
      <c r="E20" s="83">
        <v>329778.89697</v>
      </c>
      <c r="F20" s="83">
        <v>730524.95937000006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375252.25580999994</v>
      </c>
      <c r="E22" s="83">
        <v>301236.80015999964</v>
      </c>
      <c r="F22" s="83">
        <v>676489.05596999964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41032.575279999975</v>
      </c>
      <c r="E23" s="74">
        <v>193564.54245999968</v>
      </c>
      <c r="F23" s="74">
        <v>234597.11773999967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69798.567279999988</v>
      </c>
      <c r="E24" s="74">
        <v>95767.469830000031</v>
      </c>
      <c r="F24" s="74">
        <v>165566.03711000003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2220.87898</v>
      </c>
      <c r="E25" s="74">
        <v>578.58874000000014</v>
      </c>
      <c r="F25" s="74">
        <v>2799.4677200000001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239357.57429999995</v>
      </c>
      <c r="E26" s="74">
        <v>9438.19463</v>
      </c>
      <c r="F26" s="74">
        <v>248795.76892999996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1770.96639</v>
      </c>
      <c r="E27" s="74">
        <v>0</v>
      </c>
      <c r="F27" s="59">
        <v>1770.96639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237586.60790999996</v>
      </c>
      <c r="E28" s="74">
        <v>9438.19463</v>
      </c>
      <c r="F28" s="59">
        <v>247024.80253999998</v>
      </c>
    </row>
    <row r="29" spans="2:6" ht="11.25" customHeight="1">
      <c r="C29" s="104" t="str">
        <f>+IF(Índice!$D$2=1,"Subsídios","Subsidies")</f>
        <v>Subsidies</v>
      </c>
      <c r="D29" s="74">
        <v>22642.487289999997</v>
      </c>
      <c r="E29" s="74">
        <v>6.5214400000000001</v>
      </c>
      <c r="F29" s="74">
        <v>22649.008729999998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200.17267999999999</v>
      </c>
      <c r="E30" s="74">
        <v>1881.48306</v>
      </c>
      <c r="F30" s="74">
        <v>2081.6557400000002</v>
      </c>
    </row>
    <row r="31" spans="2:6" ht="11.25" customHeight="1">
      <c r="C31" s="110" t="str">
        <f>+IF(Índice!$D$2=1,"Despesa de capital","Capital expenditure")</f>
        <v>Capital expenditure</v>
      </c>
      <c r="D31" s="83">
        <v>3416.6925899999997</v>
      </c>
      <c r="E31" s="83">
        <v>55189.823399999994</v>
      </c>
      <c r="F31" s="83">
        <v>58606.515989999993</v>
      </c>
    </row>
    <row r="32" spans="2:6" ht="11.25" customHeight="1">
      <c r="C32" s="104" t="str">
        <f>+IF(Índice!$D$2=1,"Investimento","Investment")</f>
        <v>Investment</v>
      </c>
      <c r="D32" s="74">
        <v>1398.5534099999998</v>
      </c>
      <c r="E32" s="74">
        <v>54407.447709999993</v>
      </c>
      <c r="F32" s="74">
        <v>55806.001119999994</v>
      </c>
    </row>
    <row r="33" spans="3:6" ht="11.25" customHeight="1">
      <c r="C33" s="104" t="str">
        <f>+IF(Índice!$D$2=1,"Transferências capital","Capital transfers")</f>
        <v>Capital transfers</v>
      </c>
      <c r="D33" s="74">
        <v>2018.1391799999999</v>
      </c>
      <c r="E33" s="74">
        <v>782.37568999999996</v>
      </c>
      <c r="F33" s="74">
        <v>2800.51487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378668.94839999994</v>
      </c>
      <c r="E36" s="83">
        <v>356426.62355999963</v>
      </c>
      <c r="F36" s="83">
        <v>735095.57195999962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3099.5734800000005</v>
      </c>
      <c r="E38" s="35">
        <v>599.82458000000008</v>
      </c>
      <c r="F38" s="35">
        <v>3699.3980600000004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7307.5241599999999</v>
      </c>
      <c r="F39" s="35">
        <v>7307.5241599999999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22077.114000000118</v>
      </c>
      <c r="E44" s="114">
        <v>-26647.726589999627</v>
      </c>
      <c r="F44" s="114">
        <v>-4570.6125899995095</v>
      </c>
    </row>
    <row r="45" spans="3:6" ht="15" customHeight="1">
      <c r="C45" s="335" t="str">
        <f>+IF(Índice!$D$2=1,"Fonte: Secretaria Regional das Finanças","Source: Regional Finance Secretariat")</f>
        <v>Source: Regional Finance Secretariat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J15" sqref="J15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(julho)","TABLE XII - ASFs and RPEs budget execution (july)")</f>
        <v>TABLE XII - ASFs and RPEs budget execution (july)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+IF(Índice!$D$2=1,"julho 2025","july 2025")</f>
        <v>july 2025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v>34505.371240000095</v>
      </c>
      <c r="E5" s="317">
        <v>28543.45826999997</v>
      </c>
      <c r="F5" s="317">
        <v>63048.829510000069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34505.371240000095</v>
      </c>
      <c r="E9" s="74">
        <v>28543.45826999997</v>
      </c>
      <c r="F9" s="74">
        <v>63048.829510000069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32096.332590000093</v>
      </c>
      <c r="E10" s="74">
        <v>25445.872939999968</v>
      </c>
      <c r="F10" s="74">
        <v>57542.205530000065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1011.151610000001</v>
      </c>
      <c r="E11" s="83">
        <v>9067.785780000002</v>
      </c>
      <c r="F11" s="83">
        <v>10078.937390000003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1036.9852199999996</v>
      </c>
      <c r="F12" s="34">
        <v>1036.9852199999996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1011.031850000001</v>
      </c>
      <c r="E13" s="34">
        <v>8018.8270200000034</v>
      </c>
      <c r="F13" s="74">
        <v>9029.8588700000037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35516.522850000096</v>
      </c>
      <c r="E15" s="83">
        <v>37611.244049999972</v>
      </c>
      <c r="F15" s="83">
        <v>73127.766900000075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35781.103609999896</v>
      </c>
      <c r="E17" s="83">
        <v>40469.703449999666</v>
      </c>
      <c r="F17" s="83">
        <v>76250.807059999555</v>
      </c>
    </row>
    <row r="18" spans="3:6" ht="11.25" customHeight="1">
      <c r="C18" s="104" t="str">
        <f>+IF(Índice!$D$2=1,"Consumo público","Public consumption")</f>
        <v>Public consumption</v>
      </c>
      <c r="D18" s="74">
        <v>7605.8926399999382</v>
      </c>
      <c r="E18" s="74">
        <v>39343.978629999663</v>
      </c>
      <c r="F18" s="74">
        <v>46949.871269999603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4937.6495499999519</v>
      </c>
      <c r="E19" s="74">
        <v>22316.686419999631</v>
      </c>
      <c r="F19" s="74">
        <v>27254.335969999582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2668.2430899999863</v>
      </c>
      <c r="E20" s="74">
        <v>17027.292210000036</v>
      </c>
      <c r="F20" s="74">
        <v>19695.535300000021</v>
      </c>
    </row>
    <row r="21" spans="3:6" ht="11.25" customHeight="1">
      <c r="C21" s="104" t="str">
        <f>+IF(Índice!$D$2=1,"Subsídios","Subsidies")</f>
        <v>Subsidies</v>
      </c>
      <c r="D21" s="74">
        <v>2008.1100200000033</v>
      </c>
      <c r="E21" s="74">
        <v>0</v>
      </c>
      <c r="F21" s="74">
        <v>2008.1100200000033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0.8253799999998882</v>
      </c>
      <c r="E22" s="74">
        <v>23.008520000000019</v>
      </c>
      <c r="F22" s="59">
        <v>23.833899999999907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26166.275569999962</v>
      </c>
      <c r="E23" s="74">
        <v>1102.7163000000016</v>
      </c>
      <c r="F23" s="59">
        <v>27268.991869999962</v>
      </c>
    </row>
    <row r="24" spans="3:6" ht="11.25" customHeight="1">
      <c r="C24" s="110" t="str">
        <f>+IF(Índice!$D$2=1,"Despesa de capital","Capital expenditure")</f>
        <v>Capital expenditure</v>
      </c>
      <c r="D24" s="83">
        <v>195.95059999999961</v>
      </c>
      <c r="E24" s="83">
        <v>9738.1539099999809</v>
      </c>
      <c r="F24" s="83">
        <v>9934.104509999981</v>
      </c>
    </row>
    <row r="25" spans="3:6" ht="11.25" customHeight="1">
      <c r="C25" s="104" t="str">
        <f>+IF(Índice!$D$2=1,"Investimento","Investment")</f>
        <v>Investment</v>
      </c>
      <c r="D25" s="74">
        <v>96.310599999999624</v>
      </c>
      <c r="E25" s="74">
        <v>9651.1539099999809</v>
      </c>
      <c r="F25" s="74">
        <v>9747.4645099999798</v>
      </c>
    </row>
    <row r="26" spans="3:6" ht="11.25" customHeight="1">
      <c r="C26" s="104" t="str">
        <f>+IF(Índice!$D$2=1,"Transferências capital","Capital transfers")</f>
        <v>Capital transfers</v>
      </c>
      <c r="D26" s="74">
        <v>99.64</v>
      </c>
      <c r="E26" s="74">
        <v>87</v>
      </c>
      <c r="F26" s="74">
        <v>186.64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35977.054209999893</v>
      </c>
      <c r="E29" s="83">
        <v>50207.857359999645</v>
      </c>
      <c r="F29" s="83">
        <v>86184.911569999531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v>-460.53135999979713</v>
      </c>
      <c r="E31" s="319">
        <v>-12596.613309999673</v>
      </c>
      <c r="F31" s="319">
        <v>-13057.14466999947</v>
      </c>
    </row>
    <row r="32" spans="3:6" ht="15" customHeight="1">
      <c r="C32" s="335" t="str">
        <f>+IF(Índice!$D$2=1,"Fonte: Secretaria Regional das Finanças","Source: Regional Finance Secretariat")</f>
        <v>Source: Regional Finance Secretariat</v>
      </c>
      <c r="D32" s="335"/>
      <c r="E32" s="335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12" zoomScale="120" zoomScaleNormal="120" zoomScaleSheetLayoutView="100" zoomScalePageLayoutView="150" workbookViewId="0">
      <selection activeCell="J15" sqref="J15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julho de 2025 (valores acumulados)","Table XIII- Accounts payable of the Regional Administration, july (accumulated)")</f>
        <v>Table XIII- Accounts payable of the Regional Administration, july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41" t="s">
        <v>7</v>
      </c>
      <c r="D3" s="338" t="str">
        <f>+IF(Índice!$D$2=1,"julho 2025","july 2025")</f>
        <v>july 2025</v>
      </c>
      <c r="E3" s="338" t="str">
        <f>+IF(Índice!$D$2="PT","janeiro 2020","January")</f>
        <v>January</v>
      </c>
      <c r="F3" s="338" t="str">
        <f>+IF(Índice!$D$2="PT","janeiro 2020","January")</f>
        <v>January</v>
      </c>
      <c r="G3" s="345" t="str">
        <f>+IF(Índice!$D$2=1,"Variação face ao stock inicial de janeiro","Change from period initial stock")</f>
        <v>Change from period initial stock</v>
      </c>
      <c r="H3" s="346"/>
      <c r="I3" s="346"/>
    </row>
    <row r="4" spans="2:11" ht="12.75" customHeight="1">
      <c r="C4" s="341"/>
      <c r="D4" s="353" t="str">
        <f>+IF(Índice!$D$2=1,"Stock final do período","Accumulated")</f>
        <v>Accumulated</v>
      </c>
      <c r="E4" s="353"/>
      <c r="F4" s="353"/>
      <c r="G4" s="350" t="str">
        <f>+IF(Índice!$D$2=1,"Passivo","Liabilities")</f>
        <v>Liabilities</v>
      </c>
      <c r="H4" s="350" t="str">
        <f>+IF(Índice!$D$2=1,"Contas a pagar","Accounts payable")</f>
        <v>Accounts payable</v>
      </c>
      <c r="I4" s="339" t="str">
        <f>+IF(Índice!$D$2=1,"Pagamentos em atraso","Late payments")</f>
        <v>Late payments</v>
      </c>
    </row>
    <row r="5" spans="2:11" ht="22.5">
      <c r="B5" s="29"/>
      <c r="C5" s="341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51"/>
      <c r="H5" s="351"/>
      <c r="I5" s="340"/>
    </row>
    <row r="6" spans="2:11">
      <c r="B6" s="29"/>
      <c r="C6" s="119" t="str">
        <f>+IF(Índice!$D$2=1,"Despesa corrente","Current expenditure")</f>
        <v>Current expenditure</v>
      </c>
      <c r="D6" s="162">
        <v>135426589.50999999</v>
      </c>
      <c r="E6" s="162">
        <v>124596653.27000001</v>
      </c>
      <c r="F6" s="162">
        <v>27277460.900000021</v>
      </c>
      <c r="G6" s="91">
        <v>0.26596925646314507</v>
      </c>
      <c r="H6" s="91">
        <v>0.29239030869665439</v>
      </c>
      <c r="I6" s="116">
        <v>-0.33808652124285676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9001072.0600000005</v>
      </c>
      <c r="E7" s="165">
        <v>8396094.0300000012</v>
      </c>
      <c r="F7" s="165">
        <v>130553.05</v>
      </c>
      <c r="G7" s="95">
        <v>3.1734668772075212</v>
      </c>
      <c r="H7" s="95">
        <v>9.09472491124653</v>
      </c>
      <c r="I7" s="121">
        <v>242.00694289330653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94829606.120000005</v>
      </c>
      <c r="E8" s="165">
        <v>94646709.310000002</v>
      </c>
      <c r="F8" s="165">
        <v>25321144.910000019</v>
      </c>
      <c r="G8" s="95">
        <v>5.5008806636649421E-2</v>
      </c>
      <c r="H8" s="95">
        <v>5.4691225193897575E-2</v>
      </c>
      <c r="I8" s="121">
        <v>-0.36124446970532609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9036635.0399999991</v>
      </c>
      <c r="E9" s="165">
        <v>5527442.4399999995</v>
      </c>
      <c r="F9" s="165">
        <v>1713085.6300000001</v>
      </c>
      <c r="G9" s="95">
        <v>1.5707588425870389E-2</v>
      </c>
      <c r="H9" s="95">
        <v>0.52792544683321641</v>
      </c>
      <c r="I9" s="121">
        <v>0.15345487410817515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22143546.850000001</v>
      </c>
      <c r="E10" s="165">
        <v>15617246.32</v>
      </c>
      <c r="F10" s="165">
        <v>112626.31</v>
      </c>
      <c r="G10" s="95">
        <v>3.7527184301767429</v>
      </c>
      <c r="H10" s="95">
        <v>17.380711914455066</v>
      </c>
      <c r="I10" s="121">
        <v>0.35902771853364013</v>
      </c>
    </row>
    <row r="11" spans="2:11">
      <c r="B11" s="29"/>
      <c r="C11" s="120" t="str">
        <f>+IF(Índice!$D$2=1,"Subsídios","Subsidies")</f>
        <v>Subsidies</v>
      </c>
      <c r="D11" s="165">
        <v>366313.99</v>
      </c>
      <c r="E11" s="165">
        <v>366313.99</v>
      </c>
      <c r="F11" s="165">
        <v>0</v>
      </c>
      <c r="G11" s="95">
        <v>-0.73228056252933715</v>
      </c>
      <c r="H11" s="95">
        <v>-0.73228056252933715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49415.45</v>
      </c>
      <c r="E12" s="165">
        <v>42847.179999999993</v>
      </c>
      <c r="F12" s="165">
        <v>51</v>
      </c>
      <c r="G12" s="95">
        <v>4.8391578643871913</v>
      </c>
      <c r="H12" s="95">
        <v>22.095346668607124</v>
      </c>
      <c r="I12" s="121">
        <v>0</v>
      </c>
    </row>
    <row r="13" spans="2:11">
      <c r="B13" s="29"/>
      <c r="C13" s="115" t="str">
        <f>+IF(Índice!$D$2=1,"Despesa de capital","Capital expenditure")</f>
        <v>Capital expenditure</v>
      </c>
      <c r="D13" s="163">
        <v>41737441.990000002</v>
      </c>
      <c r="E13" s="163">
        <v>28221406.430000003</v>
      </c>
      <c r="F13" s="163">
        <v>582272.52</v>
      </c>
      <c r="G13" s="92">
        <v>3.3756120768589915E-2</v>
      </c>
      <c r="H13" s="92">
        <v>0.10782752953939756</v>
      </c>
      <c r="I13" s="117">
        <v>3.0987141973827805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23002439.990000002</v>
      </c>
      <c r="E14" s="165">
        <v>15344570.800000001</v>
      </c>
      <c r="F14" s="165">
        <v>582272.52</v>
      </c>
      <c r="G14" s="95">
        <v>-1.3796796933032929E-2</v>
      </c>
      <c r="H14" s="95">
        <v>6.5318435811887676E-2</v>
      </c>
      <c r="I14" s="121">
        <v>3.0987141973827805</v>
      </c>
    </row>
    <row r="15" spans="2:11">
      <c r="B15" s="29"/>
      <c r="C15" s="120" t="str">
        <f>+IF(Índice!$D$2=1,"Transferências capital","Capital transfers")</f>
        <v>Capital transfers</v>
      </c>
      <c r="D15" s="165">
        <v>18735002</v>
      </c>
      <c r="E15" s="165">
        <v>12876835.630000001</v>
      </c>
      <c r="F15" s="165">
        <v>0</v>
      </c>
      <c r="G15" s="95">
        <v>9.8806867771980889E-2</v>
      </c>
      <c r="H15" s="95">
        <v>0.16313424120686126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177164031.5</v>
      </c>
      <c r="E17" s="164">
        <v>152818059.69999999</v>
      </c>
      <c r="F17" s="164">
        <v>27859733.42000002</v>
      </c>
      <c r="G17" s="147">
        <v>0.20234147350851361</v>
      </c>
      <c r="H17" s="147">
        <v>0.25381500076635977</v>
      </c>
      <c r="I17" s="148">
        <v>-0.32627962535440469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127571919.28</v>
      </c>
      <c r="E19" s="164">
        <v>103238431.41999999</v>
      </c>
      <c r="F19" s="164">
        <v>11178335.139999999</v>
      </c>
      <c r="G19" s="147">
        <v>0.4159836200751037</v>
      </c>
      <c r="H19" s="147">
        <v>0.59712992067086823</v>
      </c>
      <c r="I19" s="148">
        <v>0.9281204017375928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julho de 2025 (valores acumulados)","Table XIV - Accounts payable of the Regional Gov., july (accumulated)")</f>
        <v>Table XIV - Accounts payable of the Regional Gov., july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41" t="str">
        <f>+IF(Índice!$D$2=1,"Governo Regional","Regional Government")</f>
        <v>Regional Government</v>
      </c>
      <c r="D24" s="338" t="str">
        <f>+IF(Índice!$D$2=1,"julho 2025","july 2025")</f>
        <v>july 2025</v>
      </c>
      <c r="E24" s="338" t="str">
        <f>+IF(Índice!$D$2="PT","janeiro 2020","January")</f>
        <v>January</v>
      </c>
      <c r="F24" s="338" t="str">
        <f>+IF(Índice!$D$2="PT","janeiro 2020","January")</f>
        <v>January</v>
      </c>
      <c r="G24" s="345" t="str">
        <f>+IF(Índice!$D$2=1,"Variação face ao stock inicial de janeiro","Change from january initial stock")</f>
        <v>Change from january initial stock</v>
      </c>
      <c r="H24" s="346"/>
      <c r="I24" s="346"/>
    </row>
    <row r="25" spans="2:9" ht="22.5" customHeight="1">
      <c r="B25" s="29"/>
      <c r="C25" s="341"/>
      <c r="D25" s="353" t="str">
        <f>+IF(Índice!$D$2=1,"Stock final do período","Accumulated")</f>
        <v>Accumulated</v>
      </c>
      <c r="E25" s="353"/>
      <c r="F25" s="353"/>
      <c r="G25" s="350" t="str">
        <f>+IF(Índice!$D$2=1,"Passivo","Liabilities")</f>
        <v>Liabilities</v>
      </c>
      <c r="H25" s="350" t="str">
        <f>+IF(Índice!$D$2=1,"Contas a pagar","Accounts payable")</f>
        <v>Accounts payable</v>
      </c>
      <c r="I25" s="339" t="str">
        <f>+IF(Índice!$D$2=1,"Pagamentos em atraso","Late payments")</f>
        <v>Late payments</v>
      </c>
    </row>
    <row r="26" spans="2:9" ht="22.5">
      <c r="B26" s="29"/>
      <c r="C26" s="341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51"/>
      <c r="H26" s="351"/>
      <c r="I26" s="340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30610686.779999997</v>
      </c>
      <c r="E27" s="162">
        <v>23577043.739999998</v>
      </c>
      <c r="F27" s="162">
        <v>1379099.7999999998</v>
      </c>
      <c r="G27" s="91">
        <v>2.4606486464895077</v>
      </c>
      <c r="H27" s="91">
        <v>4.8111475349130535</v>
      </c>
      <c r="I27" s="116">
        <v>0.31484743944316729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25460898.620000001</v>
      </c>
      <c r="E28" s="163">
        <v>20661998.060000002</v>
      </c>
      <c r="F28" s="163">
        <v>78843.649999999994</v>
      </c>
      <c r="G28" s="92">
        <v>-6.5471005619100353E-2</v>
      </c>
      <c r="H28" s="172">
        <v>-1.8980563296333131E-2</v>
      </c>
      <c r="I28" s="117">
        <v>124.14865079365079</v>
      </c>
    </row>
    <row r="29" spans="2:9" ht="20.100000000000001" customHeight="1">
      <c r="B29" s="29"/>
      <c r="C29" s="146" t="s">
        <v>7</v>
      </c>
      <c r="D29" s="164">
        <v>56071585.399999999</v>
      </c>
      <c r="E29" s="164">
        <v>44239041.799999997</v>
      </c>
      <c r="F29" s="164">
        <v>1457943.4499999997</v>
      </c>
      <c r="G29" s="147">
        <v>0.55366018448625276</v>
      </c>
      <c r="H29" s="147">
        <v>0.76118043971847582</v>
      </c>
      <c r="I29" s="148">
        <v>0.38918334747058458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julho de 2025 (valores acumulados)","Table XV - Accounts payable of the ASFs, july (accumulated)")</f>
        <v>Table XV - Accounts payable of the ASFs, july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2" t="str">
        <f>+IF(Índice!$D$2=1,"Serviços e Fundos Autónomos","Autonomous Services and Funds")</f>
        <v>Autonomous Services and Funds</v>
      </c>
      <c r="D33" s="338" t="str">
        <f>+IF(Índice!$D$2=1,"julho 2025","july 2025")</f>
        <v>july 2025</v>
      </c>
      <c r="E33" s="338" t="str">
        <f>+IF(Índice!$D$2="PT","janeiro 2020","January")</f>
        <v>January</v>
      </c>
      <c r="F33" s="338" t="str">
        <f>+IF(Índice!$D$2="PT","janeiro 2020","January")</f>
        <v>January</v>
      </c>
      <c r="G33" s="345" t="str">
        <f>+IF(Índice!$D$2=1,"Variação face ao stock inicial de janeiro","Change from january initial stock")</f>
        <v>Change from january initial stock</v>
      </c>
      <c r="H33" s="346"/>
      <c r="I33" s="346"/>
    </row>
    <row r="34" spans="2:9" ht="12.75" customHeight="1">
      <c r="C34" s="343"/>
      <c r="D34" s="347" t="str">
        <f>+IF(Índice!$D$2=1,"Stock final do período","Accumulated")</f>
        <v>Accumulated</v>
      </c>
      <c r="E34" s="348"/>
      <c r="F34" s="349"/>
      <c r="G34" s="352" t="str">
        <f>+IF(Índice!$D$2=1,"Passivo","Liabilities")</f>
        <v>Liabilities</v>
      </c>
      <c r="H34" s="352" t="str">
        <f>+IF(Índice!$D$2=1,"Contas a pagar","Accounts payable")</f>
        <v>Accounts payable</v>
      </c>
      <c r="I34" s="339" t="str">
        <f>+IF(Índice!$D$2=1,"Pagamentos em atraso","Late payments")</f>
        <v>Late payments</v>
      </c>
    </row>
    <row r="35" spans="2:9" ht="22.5">
      <c r="C35" s="344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51"/>
      <c r="H35" s="351"/>
      <c r="I35" s="340"/>
    </row>
    <row r="36" spans="2:9" ht="20.100000000000001" customHeight="1">
      <c r="C36" s="115" t="str">
        <f>+IF(Índice!$D$2=1,"Despesa corrente","Current expenditure")</f>
        <v>Current expenditure</v>
      </c>
      <c r="D36" s="162">
        <v>58361995.809999995</v>
      </c>
      <c r="E36" s="162">
        <v>57100872.740000002</v>
      </c>
      <c r="F36" s="162">
        <v>9717456.4699999988</v>
      </c>
      <c r="G36" s="91">
        <v>0.4904682482629199</v>
      </c>
      <c r="H36" s="91">
        <v>0.51662775333348332</v>
      </c>
      <c r="I36" s="116">
        <v>1.0336143720414492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340597.68</v>
      </c>
      <c r="E37" s="163">
        <v>340597.68</v>
      </c>
      <c r="F37" s="163">
        <v>2935.22</v>
      </c>
      <c r="G37" s="92">
        <v>1.3028678607990059</v>
      </c>
      <c r="H37" s="92">
        <v>1.3028678607990059</v>
      </c>
      <c r="I37" s="117">
        <v>0</v>
      </c>
    </row>
    <row r="38" spans="2:9" ht="20.100000000000001" customHeight="1">
      <c r="C38" s="146" t="s">
        <v>7</v>
      </c>
      <c r="D38" s="164">
        <v>58702593.489999995</v>
      </c>
      <c r="E38" s="164">
        <v>57441470.420000002</v>
      </c>
      <c r="F38" s="164">
        <v>9720391.6899999995</v>
      </c>
      <c r="G38" s="147">
        <v>0.49352526388980777</v>
      </c>
      <c r="H38" s="147">
        <v>0.51970428507487521</v>
      </c>
      <c r="I38" s="148">
        <v>1.0342286382947155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julho de 2025 (valores acumulados)","Table XVI - Accounts payable of the RPEs, july (accumulated)")</f>
        <v>Table XVI - Accounts payable of the RPEs, july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2" t="str">
        <f>+IF(Índice!$D$2=1,"Entidades Públicas Reclassseicadas","Reclassseied Public Entities")</f>
        <v>Reclassseied Public Entities</v>
      </c>
      <c r="D42" s="338" t="str">
        <f>+IF(Índice!$D$2=1,"julho 2025","july 2025")</f>
        <v>july 2025</v>
      </c>
      <c r="E42" s="338" t="str">
        <f>+IF(Índice!$D$2="PT","janeiro 2020","January")</f>
        <v>January</v>
      </c>
      <c r="F42" s="338" t="str">
        <f>+IF(Índice!$D$2="PT","janeiro 2020","January")</f>
        <v>January</v>
      </c>
      <c r="G42" s="345" t="str">
        <f>+IF(Índice!$D$2=1,"Variação face ao stock inicial de janeiro","Change from january initial stock")</f>
        <v>Change from january initial stock</v>
      </c>
      <c r="H42" s="346"/>
      <c r="I42" s="346"/>
    </row>
    <row r="43" spans="2:9" ht="12.75" customHeight="1">
      <c r="C43" s="343"/>
      <c r="D43" s="347" t="str">
        <f>+IF(Índice!$D$2=1,"Stock final do período","Accumulated")</f>
        <v>Accumulated</v>
      </c>
      <c r="E43" s="348"/>
      <c r="F43" s="349"/>
      <c r="G43" s="350" t="str">
        <f>+IF(Índice!$D$2=1,"Passivo","Liabilities")</f>
        <v>Liabilities</v>
      </c>
      <c r="H43" s="350" t="str">
        <f>+IF(Índice!$D$2=1,"Contas a pagar","Accounts payable")</f>
        <v>Accounts payable</v>
      </c>
      <c r="I43" s="339" t="str">
        <f>+IF(Índice!$D$2=1,"Pagamentos em atraso","Late payments")</f>
        <v>Late payments</v>
      </c>
    </row>
    <row r="44" spans="2:9" ht="22.5">
      <c r="C44" s="344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51"/>
      <c r="H44" s="351"/>
      <c r="I44" s="340"/>
    </row>
    <row r="45" spans="2:9" ht="20.100000000000001" customHeight="1">
      <c r="C45" s="115" t="str">
        <f>+IF(Índice!$D$2=1,"Despesa corrente","Current expenditure")</f>
        <v>Current expenditure</v>
      </c>
      <c r="D45" s="162">
        <v>46453906.920000009</v>
      </c>
      <c r="E45" s="162">
        <v>43918736.790000007</v>
      </c>
      <c r="F45" s="162">
        <v>16180904.630000021</v>
      </c>
      <c r="G45" s="91">
        <v>-0.21227778021518695</v>
      </c>
      <c r="H45" s="91">
        <v>-0.19710995074326376</v>
      </c>
      <c r="I45" s="116">
        <v>-0.54268915220918412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15935945.689999999</v>
      </c>
      <c r="E46" s="163">
        <v>7218810.6900000004</v>
      </c>
      <c r="F46" s="163">
        <v>500493.64999999997</v>
      </c>
      <c r="G46" s="92">
        <v>0.22753975144640171</v>
      </c>
      <c r="H46" s="92">
        <v>0.69261552691735262</v>
      </c>
      <c r="I46" s="117">
        <v>2.5387521968117022</v>
      </c>
    </row>
    <row r="47" spans="2:9" ht="20.100000000000001" customHeight="1">
      <c r="C47" s="146" t="s">
        <v>7</v>
      </c>
      <c r="D47" s="164">
        <v>62389852.610000007</v>
      </c>
      <c r="E47" s="164">
        <v>51137547.480000004</v>
      </c>
      <c r="F47" s="164">
        <v>16681398.280000022</v>
      </c>
      <c r="G47" s="147">
        <v>-0.13292593106222428</v>
      </c>
      <c r="H47" s="147">
        <v>-0.13275767199750188</v>
      </c>
      <c r="I47" s="148">
        <v>-0.53042101783269502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6"/>
  <sheetViews>
    <sheetView showGridLines="0" zoomScale="85" zoomScaleNormal="85" workbookViewId="0"/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3" t="s">
        <v>12</v>
      </c>
      <c r="D2" s="174"/>
      <c r="E2" s="178" t="str">
        <f>+IF(Índice!$D$2=1,"índice","Index")</f>
        <v>Index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1" t="s">
        <v>16</v>
      </c>
      <c r="D7" s="170"/>
      <c r="E7" s="169"/>
    </row>
    <row r="8" spans="2:5">
      <c r="B8" s="195"/>
      <c r="C8" s="170" t="s">
        <v>17</v>
      </c>
      <c r="D8" s="171"/>
      <c r="E8" s="169"/>
    </row>
    <row r="9" spans="2:5">
      <c r="B9" s="195"/>
      <c r="C9" s="170" t="s">
        <v>54</v>
      </c>
      <c r="D9" s="170"/>
      <c r="E9" s="169"/>
    </row>
    <row r="10" spans="2:5">
      <c r="B10" s="195"/>
      <c r="C10" s="170" t="s">
        <v>66</v>
      </c>
      <c r="D10" s="170"/>
      <c r="E10" s="169"/>
    </row>
    <row r="11" spans="2:5">
      <c r="B11" s="195"/>
      <c r="C11" s="170" t="s">
        <v>55</v>
      </c>
      <c r="D11" s="170"/>
      <c r="E11" s="169"/>
    </row>
    <row r="12" spans="2:5">
      <c r="B12" s="195"/>
      <c r="C12" s="170" t="s">
        <v>56</v>
      </c>
      <c r="D12" s="170"/>
      <c r="E12" s="169"/>
    </row>
    <row r="13" spans="2:5">
      <c r="B13" s="195"/>
      <c r="C13" s="170" t="s">
        <v>57</v>
      </c>
      <c r="D13" s="170"/>
      <c r="E13" s="169"/>
    </row>
    <row r="14" spans="2:5">
      <c r="B14" s="195"/>
      <c r="C14" s="170" t="s">
        <v>18</v>
      </c>
      <c r="D14" s="170"/>
      <c r="E14" s="169"/>
    </row>
    <row r="15" spans="2:5">
      <c r="B15" s="195"/>
      <c r="C15" s="170" t="s">
        <v>44</v>
      </c>
      <c r="D15" s="170"/>
      <c r="E15" s="169"/>
    </row>
    <row r="16" spans="2:5">
      <c r="B16" s="195"/>
      <c r="C16" s="170" t="s">
        <v>58</v>
      </c>
      <c r="D16" s="170"/>
      <c r="E16" s="169"/>
    </row>
    <row r="17" spans="2:5">
      <c r="B17" s="195"/>
      <c r="C17" s="170" t="s">
        <v>72</v>
      </c>
      <c r="D17" s="171"/>
      <c r="E17" s="169"/>
    </row>
    <row r="18" spans="2:5">
      <c r="B18" s="195"/>
      <c r="C18" s="170" t="s">
        <v>69</v>
      </c>
      <c r="D18" s="170"/>
      <c r="E18" s="169"/>
    </row>
    <row r="19" spans="2:5">
      <c r="B19" s="195"/>
      <c r="C19" s="170" t="s">
        <v>19</v>
      </c>
      <c r="D19" s="170"/>
      <c r="E19" s="169"/>
    </row>
    <row r="20" spans="2:5">
      <c r="B20" s="195"/>
      <c r="C20" s="170" t="s">
        <v>73</v>
      </c>
      <c r="D20" s="170"/>
      <c r="E20" s="169"/>
    </row>
    <row r="21" spans="2:5">
      <c r="B21" s="195"/>
      <c r="C21" s="170" t="s">
        <v>45</v>
      </c>
      <c r="D21" s="170"/>
      <c r="E21" s="169"/>
    </row>
    <row r="22" spans="2:5">
      <c r="B22" s="195"/>
      <c r="C22" s="170" t="s">
        <v>59</v>
      </c>
      <c r="D22" s="170"/>
      <c r="E22" s="169"/>
    </row>
    <row r="23" spans="2:5">
      <c r="B23" s="195"/>
      <c r="C23" s="170" t="s">
        <v>60</v>
      </c>
      <c r="D23" s="170"/>
      <c r="E23" s="169"/>
    </row>
    <row r="24" spans="2:5">
      <c r="B24" s="195"/>
      <c r="C24" s="170" t="s">
        <v>74</v>
      </c>
      <c r="D24" s="170"/>
      <c r="E24" s="169"/>
    </row>
    <row r="25" spans="2:5">
      <c r="B25" s="195"/>
      <c r="C25" s="170" t="s">
        <v>61</v>
      </c>
      <c r="D25" s="170"/>
      <c r="E25" s="169"/>
    </row>
    <row r="26" spans="2:5">
      <c r="B26" s="195"/>
      <c r="C26" s="170" t="s">
        <v>62</v>
      </c>
      <c r="D26" s="170"/>
      <c r="E26" s="169"/>
    </row>
    <row r="27" spans="2:5">
      <c r="B27" s="195"/>
      <c r="C27" s="170" t="s">
        <v>46</v>
      </c>
      <c r="D27" s="170"/>
      <c r="E27" s="169"/>
    </row>
    <row r="28" spans="2:5">
      <c r="B28" s="195"/>
      <c r="C28" s="170" t="s">
        <v>70</v>
      </c>
      <c r="D28" s="170"/>
      <c r="E28" s="169"/>
    </row>
    <row r="29" spans="2:5">
      <c r="B29" s="55"/>
      <c r="C29" s="170" t="s">
        <v>47</v>
      </c>
      <c r="D29" s="170"/>
      <c r="E29" s="169"/>
    </row>
    <row r="30" spans="2:5">
      <c r="B30" s="55"/>
      <c r="C30" s="170" t="s">
        <v>63</v>
      </c>
      <c r="D30" s="170"/>
      <c r="E30" s="169"/>
    </row>
    <row r="31" spans="2:5">
      <c r="B31" s="55"/>
      <c r="C31" s="170" t="s">
        <v>79</v>
      </c>
      <c r="D31" s="170"/>
      <c r="E31" s="169"/>
    </row>
    <row r="32" spans="2:5">
      <c r="B32" s="55"/>
      <c r="C32" s="170" t="s">
        <v>64</v>
      </c>
      <c r="D32" s="170"/>
      <c r="E32" s="169"/>
    </row>
    <row r="33" spans="2:5">
      <c r="B33" s="55"/>
      <c r="C33" s="170" t="s">
        <v>48</v>
      </c>
      <c r="D33" s="170"/>
      <c r="E33" s="169"/>
    </row>
    <row r="34" spans="2:5">
      <c r="B34" s="55"/>
      <c r="C34" s="170" t="s">
        <v>65</v>
      </c>
      <c r="D34" s="170"/>
      <c r="E34" s="169"/>
    </row>
    <row r="35" spans="2:5">
      <c r="B35" s="55"/>
      <c r="C35" s="170" t="s">
        <v>49</v>
      </c>
      <c r="D35" s="170"/>
      <c r="E35" s="169"/>
    </row>
    <row r="36" spans="2:5">
      <c r="B36" s="55"/>
      <c r="C36" s="171" t="s">
        <v>98</v>
      </c>
      <c r="D36" s="170"/>
      <c r="E36" s="169"/>
    </row>
    <row r="37" spans="2:5">
      <c r="B37" s="55"/>
      <c r="C37" s="170" t="s">
        <v>84</v>
      </c>
      <c r="D37" s="170"/>
      <c r="E37" s="169"/>
    </row>
    <row r="38" spans="2:5">
      <c r="B38" s="55"/>
      <c r="C38" s="170" t="s">
        <v>43</v>
      </c>
      <c r="D38" s="170"/>
      <c r="E38" s="169"/>
    </row>
    <row r="39" spans="2:5">
      <c r="B39" s="55"/>
      <c r="C39" s="171" t="s">
        <v>85</v>
      </c>
      <c r="D39" s="170"/>
      <c r="E39" s="169"/>
    </row>
    <row r="40" spans="2:5">
      <c r="B40" s="55"/>
      <c r="C40" s="170" t="s">
        <v>86</v>
      </c>
      <c r="D40" s="170"/>
      <c r="E40" s="169"/>
    </row>
    <row r="41" spans="2:5">
      <c r="B41" s="55"/>
      <c r="C41" s="170" t="s">
        <v>21</v>
      </c>
      <c r="D41" s="170"/>
      <c r="E41" s="169"/>
    </row>
    <row r="42" spans="2:5">
      <c r="B42" s="55"/>
      <c r="C42" s="170" t="s">
        <v>75</v>
      </c>
      <c r="D42" s="170"/>
      <c r="E42" s="169"/>
    </row>
    <row r="43" spans="2:5">
      <c r="B43" s="55"/>
      <c r="C43" s="170" t="s">
        <v>87</v>
      </c>
      <c r="D43" s="171"/>
      <c r="E43" s="169"/>
    </row>
    <row r="44" spans="2:5">
      <c r="B44" s="55"/>
      <c r="C44" s="171" t="s">
        <v>26</v>
      </c>
      <c r="D44" s="170"/>
      <c r="E44" s="169"/>
    </row>
    <row r="45" spans="2:5">
      <c r="B45" s="55"/>
      <c r="C45" s="170" t="s">
        <v>86</v>
      </c>
      <c r="D45" s="171"/>
      <c r="E45" s="169"/>
    </row>
    <row r="46" spans="2:5">
      <c r="B46" s="55"/>
      <c r="C46" s="170" t="s">
        <v>71</v>
      </c>
      <c r="D46" s="170"/>
      <c r="E46" s="169"/>
    </row>
    <row r="47" spans="2:5">
      <c r="B47" s="55"/>
      <c r="C47" s="170" t="s">
        <v>27</v>
      </c>
      <c r="D47" s="170"/>
      <c r="E47" s="169"/>
    </row>
    <row r="48" spans="2:5">
      <c r="B48" s="55"/>
      <c r="C48" s="171" t="s">
        <v>22</v>
      </c>
      <c r="D48" s="170"/>
      <c r="E48" s="169"/>
    </row>
    <row r="49" spans="2:5">
      <c r="B49" s="55"/>
      <c r="C49" s="170" t="s">
        <v>50</v>
      </c>
      <c r="D49" s="170"/>
      <c r="E49" s="169"/>
    </row>
    <row r="50" spans="2:5">
      <c r="B50" s="55"/>
      <c r="C50" s="170" t="s">
        <v>51</v>
      </c>
      <c r="D50" s="171"/>
      <c r="E50" s="169"/>
    </row>
    <row r="51" spans="2:5">
      <c r="B51" s="55"/>
      <c r="C51" s="170" t="s">
        <v>41</v>
      </c>
      <c r="D51" s="170"/>
      <c r="E51" s="169"/>
    </row>
    <row r="52" spans="2:5">
      <c r="B52" s="55"/>
      <c r="C52" s="170" t="s">
        <v>23</v>
      </c>
      <c r="D52" s="170"/>
      <c r="E52" s="169"/>
    </row>
    <row r="53" spans="2:5">
      <c r="B53" s="55"/>
      <c r="C53" s="170" t="s">
        <v>52</v>
      </c>
      <c r="D53" s="170"/>
      <c r="E53" s="169"/>
    </row>
    <row r="54" spans="2:5">
      <c r="B54" s="55"/>
      <c r="C54" s="170" t="s">
        <v>24</v>
      </c>
      <c r="D54" s="171"/>
      <c r="E54" s="169"/>
    </row>
    <row r="55" spans="2:5">
      <c r="B55" s="55"/>
      <c r="C55" s="170" t="s">
        <v>25</v>
      </c>
    </row>
    <row r="56" spans="2:5">
      <c r="B56" s="55"/>
      <c r="C56" s="170" t="s">
        <v>42</v>
      </c>
    </row>
    <row r="57" spans="2:5">
      <c r="B57" s="55"/>
      <c r="C57" s="170" t="s">
        <v>88</v>
      </c>
    </row>
    <row r="58" spans="2:5">
      <c r="B58" s="55"/>
      <c r="C58" s="171" t="s">
        <v>89</v>
      </c>
    </row>
    <row r="59" spans="2:5">
      <c r="B59" s="55"/>
      <c r="C59" s="170" t="s">
        <v>86</v>
      </c>
    </row>
    <row r="60" spans="2:5">
      <c r="B60" s="55"/>
      <c r="C60" s="170" t="s">
        <v>80</v>
      </c>
    </row>
    <row r="61" spans="2:5">
      <c r="B61" s="55"/>
      <c r="C61" s="170" t="s">
        <v>77</v>
      </c>
    </row>
    <row r="62" spans="2:5">
      <c r="B62" s="55"/>
      <c r="C62" s="170" t="s">
        <v>90</v>
      </c>
    </row>
    <row r="63" spans="2:5">
      <c r="B63" s="55"/>
      <c r="C63" s="171" t="s">
        <v>76</v>
      </c>
    </row>
    <row r="64" spans="2:5">
      <c r="B64" s="55"/>
      <c r="C64" s="170" t="s">
        <v>86</v>
      </c>
    </row>
    <row r="65" spans="2:3">
      <c r="B65" s="55"/>
      <c r="C65" s="170" t="s">
        <v>67</v>
      </c>
    </row>
    <row r="66" spans="2:3">
      <c r="B66" s="55"/>
      <c r="C66" s="170" t="s">
        <v>28</v>
      </c>
    </row>
    <row r="67" spans="2:3">
      <c r="B67" s="55"/>
      <c r="C67" s="170" t="s">
        <v>20</v>
      </c>
    </row>
    <row r="68" spans="2:3">
      <c r="B68" s="55"/>
      <c r="C68" s="174" t="s">
        <v>91</v>
      </c>
    </row>
    <row r="69" spans="2:3">
      <c r="B69" s="55"/>
      <c r="C69" s="171" t="s">
        <v>83</v>
      </c>
    </row>
    <row r="70" spans="2:3">
      <c r="B70" s="55"/>
      <c r="C70" s="170" t="s">
        <v>86</v>
      </c>
    </row>
    <row r="71" spans="2:3">
      <c r="B71" s="55"/>
      <c r="C71" s="170" t="s">
        <v>29</v>
      </c>
    </row>
    <row r="72" spans="2:3" hidden="1">
      <c r="B72" s="55"/>
      <c r="C72" s="170" t="s">
        <v>30</v>
      </c>
    </row>
    <row r="73" spans="2:3" ht="13.5" hidden="1" customHeight="1">
      <c r="B73" s="55"/>
      <c r="C73" s="170" t="s">
        <v>31</v>
      </c>
    </row>
    <row r="74" spans="2:3" ht="13.5" hidden="1" customHeight="1">
      <c r="B74" s="55"/>
      <c r="C74" s="170" t="s">
        <v>92</v>
      </c>
    </row>
    <row r="75" spans="2:3" ht="13.5" hidden="1" customHeight="1">
      <c r="B75" s="55"/>
      <c r="C75" s="290" t="s">
        <v>93</v>
      </c>
    </row>
    <row r="76" spans="2:3" ht="13.5" hidden="1" customHeight="1">
      <c r="B76" s="55"/>
    </row>
    <row r="77" spans="2:3" ht="13.5" hidden="1" customHeight="1">
      <c r="B77" s="55"/>
      <c r="C77" s="170"/>
    </row>
    <row r="78" spans="2:3" hidden="1">
      <c r="B78" s="55"/>
      <c r="C78" s="170"/>
    </row>
    <row r="79" spans="2:3" hidden="1">
      <c r="B79" s="55"/>
      <c r="C79" s="321"/>
    </row>
    <row r="80" spans="2:3" hidden="1">
      <c r="B80" s="55"/>
      <c r="C80" s="321"/>
    </row>
    <row r="81" spans="2:3">
      <c r="B81" s="55"/>
      <c r="C81" s="275"/>
    </row>
    <row r="82" spans="2:3">
      <c r="B82" s="55"/>
      <c r="C82" s="275"/>
    </row>
    <row r="83" spans="2:3" ht="30.75" customHeight="1">
      <c r="B83" s="16"/>
      <c r="C83" s="323" t="s">
        <v>11</v>
      </c>
    </row>
    <row r="84" spans="2:3">
      <c r="B84" s="55"/>
      <c r="C84" s="289" t="s">
        <v>13</v>
      </c>
    </row>
    <row r="85" spans="2:3">
      <c r="B85" s="55"/>
      <c r="C85" s="170" t="s">
        <v>13</v>
      </c>
    </row>
    <row r="86" spans="2:3">
      <c r="B86" s="55"/>
      <c r="C86" s="171" t="s">
        <v>16</v>
      </c>
    </row>
    <row r="87" spans="2:3">
      <c r="B87" s="55"/>
      <c r="C87" s="170" t="s">
        <v>78</v>
      </c>
    </row>
    <row r="88" spans="2:3">
      <c r="B88" s="55"/>
      <c r="C88" s="170" t="s">
        <v>99</v>
      </c>
    </row>
    <row r="89" spans="2:3">
      <c r="B89" s="55"/>
      <c r="C89" s="170" t="s">
        <v>94</v>
      </c>
    </row>
    <row r="90" spans="2:3">
      <c r="B90" s="55"/>
      <c r="C90" s="171" t="s">
        <v>98</v>
      </c>
    </row>
    <row r="91" spans="2:3">
      <c r="B91" s="55"/>
      <c r="C91" s="170" t="s">
        <v>68</v>
      </c>
    </row>
    <row r="92" spans="2:3">
      <c r="B92" s="55"/>
      <c r="C92" s="171" t="s">
        <v>85</v>
      </c>
    </row>
    <row r="93" spans="2:3">
      <c r="B93" s="55"/>
      <c r="C93" s="170" t="s">
        <v>33</v>
      </c>
    </row>
    <row r="94" spans="2:3">
      <c r="B94" s="55"/>
      <c r="C94" s="170" t="s">
        <v>95</v>
      </c>
    </row>
    <row r="95" spans="2:3">
      <c r="B95" s="55"/>
      <c r="C95" s="171" t="s">
        <v>26</v>
      </c>
    </row>
    <row r="96" spans="2:3">
      <c r="B96" s="55"/>
      <c r="C96" s="170" t="s">
        <v>36</v>
      </c>
    </row>
    <row r="97" spans="2:3">
      <c r="B97" s="55"/>
      <c r="C97" s="171" t="s">
        <v>22</v>
      </c>
    </row>
    <row r="98" spans="2:3">
      <c r="B98" s="55"/>
      <c r="C98" s="170" t="s">
        <v>32</v>
      </c>
    </row>
    <row r="99" spans="2:3">
      <c r="B99" s="55"/>
      <c r="C99" s="170" t="s">
        <v>34</v>
      </c>
    </row>
    <row r="100" spans="2:3">
      <c r="B100" s="55"/>
      <c r="C100" s="170" t="s">
        <v>35</v>
      </c>
    </row>
    <row r="101" spans="2:3">
      <c r="B101" s="55"/>
      <c r="C101" s="170" t="s">
        <v>53</v>
      </c>
    </row>
    <row r="102" spans="2:3">
      <c r="B102" s="55"/>
      <c r="C102" s="171" t="s">
        <v>89</v>
      </c>
    </row>
    <row r="103" spans="2:3">
      <c r="B103" s="55"/>
      <c r="C103" s="170" t="s">
        <v>82</v>
      </c>
    </row>
    <row r="104" spans="2:3">
      <c r="B104" s="55"/>
      <c r="C104" s="171" t="s">
        <v>76</v>
      </c>
    </row>
    <row r="105" spans="2:3">
      <c r="B105" s="55"/>
      <c r="C105" s="170" t="s">
        <v>68</v>
      </c>
    </row>
    <row r="106" spans="2:3">
      <c r="B106" s="55"/>
      <c r="C106" s="170" t="s">
        <v>82</v>
      </c>
    </row>
    <row r="107" spans="2:3">
      <c r="B107" s="55"/>
      <c r="C107" s="171" t="s">
        <v>83</v>
      </c>
    </row>
    <row r="108" spans="2:3">
      <c r="B108" s="55"/>
      <c r="C108" s="170" t="s">
        <v>37</v>
      </c>
    </row>
    <row r="109" spans="2:3">
      <c r="B109" s="55"/>
      <c r="C109" s="170" t="s">
        <v>38</v>
      </c>
    </row>
    <row r="110" spans="2:3">
      <c r="C110" s="170" t="s">
        <v>39</v>
      </c>
    </row>
    <row r="111" spans="2:3">
      <c r="C111" s="170" t="s">
        <v>40</v>
      </c>
    </row>
    <row r="112" spans="2:3">
      <c r="C112" s="170" t="s">
        <v>100</v>
      </c>
    </row>
    <row r="113" spans="3:3">
      <c r="C113" s="170" t="s">
        <v>81</v>
      </c>
    </row>
    <row r="114" spans="3:3">
      <c r="C114" s="170" t="s">
        <v>96</v>
      </c>
    </row>
    <row r="115" spans="3:3">
      <c r="C115" s="170" t="s">
        <v>97</v>
      </c>
    </row>
    <row r="116" spans="3:3">
      <c r="C116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C7" sqref="C7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(january-july)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(january-july)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(july)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(january-july)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(january-july)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(january-july)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(january-july)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(january-july)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(january-july)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(january-july)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(january-july)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(july)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Table XIII- Accounts payable of the Regional Administration, july (accumulated)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Table XIV - Accounts payable of the Regional Gov., july (accumulated)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Table XV - Accounts payable of the ASFs, july (accumulated)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Table XVI - Accounts payable of the RPEs, july (accumulated)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'!C83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J15" sqref="J15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(janeiro-julho)","TABLE I - Consolidated budget execution (january-july)")</f>
        <v>TABLE I - Consolidated budget execution (january-july)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2025","Consolidated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1026314.4318600001</v>
      </c>
      <c r="E5" s="57">
        <v>395599.75665000005</v>
      </c>
      <c r="F5" s="57">
        <v>271322.82874000003</v>
      </c>
      <c r="G5" s="57">
        <v>1117803.0447300004</v>
      </c>
      <c r="H5" s="57">
        <v>1.9779919588337913</v>
      </c>
    </row>
    <row r="6" spans="1:10" ht="11.25" customHeight="1">
      <c r="C6" s="68" t="str">
        <f>+IF(Índice!$D$2=1,"Impostos diretos","Direct taxes")</f>
        <v>Direct taxes</v>
      </c>
      <c r="D6" s="56">
        <v>281786.61911000003</v>
      </c>
      <c r="E6" s="56">
        <v>0</v>
      </c>
      <c r="F6" s="56">
        <v>0</v>
      </c>
      <c r="G6" s="56">
        <v>281786.61911000003</v>
      </c>
      <c r="H6" s="56">
        <v>-10.432114176950835</v>
      </c>
    </row>
    <row r="7" spans="1:10">
      <c r="C7" s="68" t="str">
        <f>+IF(Índice!$D$2=1,"Impostos indiretos","Indirect taxes")</f>
        <v>Indirect taxes</v>
      </c>
      <c r="D7" s="56">
        <v>512863.23077000008</v>
      </c>
      <c r="E7" s="56">
        <v>0</v>
      </c>
      <c r="F7" s="56">
        <v>0</v>
      </c>
      <c r="G7" s="56">
        <v>512863.23077000008</v>
      </c>
      <c r="H7" s="56">
        <v>3.2383517323246958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231664.58197999999</v>
      </c>
      <c r="E9" s="56">
        <v>395599.75665000005</v>
      </c>
      <c r="F9" s="56">
        <v>271322.82874000003</v>
      </c>
      <c r="G9" s="56">
        <v>318405.95510000014</v>
      </c>
      <c r="H9" s="56">
        <v>23.182559544793115</v>
      </c>
    </row>
    <row r="10" spans="1:10">
      <c r="C10" s="69" t="str">
        <f>+IF(Índice!$D$2=1,"Transferências correntes","Current transfers")</f>
        <v>Current transfers</v>
      </c>
      <c r="D10" s="56">
        <v>199777.99660000001</v>
      </c>
      <c r="E10" s="56">
        <v>383188.11890000006</v>
      </c>
      <c r="F10" s="56">
        <v>233216.60162000003</v>
      </c>
      <c r="G10" s="56">
        <v>236019.80639000016</v>
      </c>
      <c r="H10" s="56">
        <v>27.42958459374303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196041.66630000001</v>
      </c>
      <c r="E11" s="56">
        <v>1092.7708700000003</v>
      </c>
      <c r="F11" s="56">
        <v>0</v>
      </c>
      <c r="G11" s="56">
        <v>197134.43717000002</v>
      </c>
      <c r="H11" s="56">
        <v>26.940047078417063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348405.75837999996</v>
      </c>
      <c r="F12" s="56">
        <v>231757.15235000005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4747.2397500000952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102217.09324000003</v>
      </c>
      <c r="E14" s="57">
        <v>5146.3057500000004</v>
      </c>
      <c r="F14" s="57">
        <v>58456.068229999997</v>
      </c>
      <c r="G14" s="57">
        <v>133935.74787000002</v>
      </c>
      <c r="H14" s="57">
        <v>21.342138309424861</v>
      </c>
    </row>
    <row r="15" spans="1:10">
      <c r="C15" s="68" t="str">
        <f>+IF(Índice!$D$2=1,"Venda de bens de investimento","Sale of investment goods")</f>
        <v>Sale of investment goods</v>
      </c>
      <c r="D15" s="56">
        <v>1458.6978900000001</v>
      </c>
      <c r="E15" s="56">
        <v>0</v>
      </c>
      <c r="F15" s="56">
        <v>2505.9851899999994</v>
      </c>
      <c r="G15" s="56">
        <v>3964.6830799999998</v>
      </c>
      <c r="H15" s="56">
        <v>257.97440069866292</v>
      </c>
    </row>
    <row r="16" spans="1:10" ht="11.25" customHeight="1">
      <c r="C16" s="68" t="str">
        <f>+IF(Índice!$D$2=1,"Transferências capital","Capital transfers")</f>
        <v>Capital transfers</v>
      </c>
      <c r="D16" s="56">
        <v>97995.011290000039</v>
      </c>
      <c r="E16" s="56">
        <v>5078.3740600000001</v>
      </c>
      <c r="F16" s="56">
        <v>55875.849329999997</v>
      </c>
      <c r="G16" s="56">
        <v>122402.97340000005</v>
      </c>
      <c r="H16" s="56">
        <v>18.052562873618761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71741.436680000013</v>
      </c>
      <c r="E17" s="56">
        <v>81.005130000000008</v>
      </c>
      <c r="F17" s="56">
        <v>0</v>
      </c>
      <c r="G17" s="56">
        <v>71822.441810000018</v>
      </c>
      <c r="H17" s="56">
        <v>-11.597532520464693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1002.0671599999998</v>
      </c>
      <c r="F18" s="56">
        <v>35544.194120000015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4662.541930000014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1128531.5251000002</v>
      </c>
      <c r="E20" s="57">
        <v>400746.06240000005</v>
      </c>
      <c r="F20" s="57">
        <v>329778.89697</v>
      </c>
      <c r="G20" s="57">
        <v>1251738.7926000005</v>
      </c>
      <c r="H20" s="57">
        <v>3.7495514272246844</v>
      </c>
    </row>
    <row r="21" spans="3:8" ht="20.25" customHeight="1">
      <c r="C21" s="220" t="str">
        <f>+IF(Índice!$D$2=1,"Despesa corrente","Current expenditure")</f>
        <v>Current expenditure</v>
      </c>
      <c r="D21" s="220">
        <v>922313.44803000032</v>
      </c>
      <c r="E21" s="220">
        <v>375252.25580999989</v>
      </c>
      <c r="F21" s="220">
        <v>301236.80015999964</v>
      </c>
      <c r="G21" s="220">
        <v>1023368.5314800001</v>
      </c>
      <c r="H21" s="220">
        <v>6.6780777380962553</v>
      </c>
    </row>
    <row r="22" spans="3:8" ht="10.5" customHeight="1">
      <c r="C22" s="68" t="str">
        <f>+IF(Índice!$D$2=1,"Consumo público","Public consumption")</f>
        <v>Public consumption</v>
      </c>
      <c r="D22" s="56">
        <v>424443.92477000045</v>
      </c>
      <c r="E22" s="56">
        <v>111031.31523999997</v>
      </c>
      <c r="F22" s="56">
        <v>291213.49534999969</v>
      </c>
      <c r="G22" s="56">
        <v>826688.73536000017</v>
      </c>
      <c r="H22" s="56">
        <v>8.5463327734364825</v>
      </c>
    </row>
    <row r="23" spans="3:8">
      <c r="C23" s="69" t="str">
        <f>+IF(Índice!$D$2=1,"Despesas com o pessoal","Compensation of employees")</f>
        <v>Compensation of employees</v>
      </c>
      <c r="D23" s="56">
        <v>313284.86255000037</v>
      </c>
      <c r="E23" s="56">
        <v>41032.575279999975</v>
      </c>
      <c r="F23" s="56">
        <v>193564.54245999968</v>
      </c>
      <c r="G23" s="56">
        <v>547881.98029000009</v>
      </c>
      <c r="H23" s="56">
        <v>9.3441566861125693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111159.06222000007</v>
      </c>
      <c r="E24" s="56">
        <v>69998.739959999992</v>
      </c>
      <c r="F24" s="56">
        <v>97648.95289000003</v>
      </c>
      <c r="G24" s="56">
        <v>278806.75507000007</v>
      </c>
      <c r="H24" s="56">
        <v>7.0119717397555625</v>
      </c>
    </row>
    <row r="25" spans="3:8">
      <c r="C25" s="68" t="str">
        <f>+IF(Índice!$D$2=1,"Subsídios","Subsidies")</f>
        <v>Subsidies</v>
      </c>
      <c r="D25" s="56">
        <v>1231.4392399999999</v>
      </c>
      <c r="E25" s="56">
        <v>22642.487289999997</v>
      </c>
      <c r="F25" s="56">
        <v>6.5214400000000001</v>
      </c>
      <c r="G25" s="56">
        <v>23862.146429999997</v>
      </c>
      <c r="H25" s="56">
        <v>4.7247807715570245</v>
      </c>
    </row>
    <row r="26" spans="3:8">
      <c r="C26" s="68" t="str">
        <f>+IF(Índice!$D$2=1,"Juros e outros encargos","Interests and other charges")</f>
        <v>Interests and other charges</v>
      </c>
      <c r="D26" s="56">
        <v>84819.879880000037</v>
      </c>
      <c r="E26" s="56">
        <v>2220.87898</v>
      </c>
      <c r="F26" s="56">
        <v>578.58874000000014</v>
      </c>
      <c r="G26" s="56">
        <v>87619.347600000037</v>
      </c>
      <c r="H26" s="56">
        <v>-2.8147041902135794</v>
      </c>
    </row>
    <row r="27" spans="3:8">
      <c r="C27" s="68" t="str">
        <f>+IF(Índice!$D$2=1,"Transferências correntes","Current transfers")</f>
        <v>Current transfers</v>
      </c>
      <c r="D27" s="56">
        <v>411818.20413999987</v>
      </c>
      <c r="E27" s="56">
        <v>239357.57429999995</v>
      </c>
      <c r="F27" s="56">
        <v>9438.19463</v>
      </c>
      <c r="G27" s="56">
        <v>85198.302089999896</v>
      </c>
      <c r="H27" s="56">
        <v>0.513648013696133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0</v>
      </c>
      <c r="E28" s="56">
        <v>1770.96639</v>
      </c>
      <c r="F28" s="56">
        <v>0</v>
      </c>
      <c r="G28" s="56">
        <v>1770.96639</v>
      </c>
      <c r="H28" s="56">
        <v>-1.1616991245863462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362183.19527999993</v>
      </c>
      <c r="E29" s="56">
        <v>213232.47569999998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86284.035019999952</v>
      </c>
      <c r="E31" s="57">
        <v>3416.6925899999997</v>
      </c>
      <c r="F31" s="57">
        <v>55189.823399999994</v>
      </c>
      <c r="G31" s="57">
        <v>113006.83165999994</v>
      </c>
      <c r="H31" s="57">
        <v>26.049082518624324</v>
      </c>
    </row>
    <row r="32" spans="3:8">
      <c r="C32" s="68" t="str">
        <f>+IF(Índice!$D$2=1,"Investimento","Investment")</f>
        <v>Investment</v>
      </c>
      <c r="D32" s="56">
        <v>42069.273809999948</v>
      </c>
      <c r="E32" s="56">
        <v>1398.5534099999998</v>
      </c>
      <c r="F32" s="56">
        <v>54407.447709999993</v>
      </c>
      <c r="G32" s="56">
        <v>97875.274929999941</v>
      </c>
      <c r="H32" s="56">
        <v>27.943376417845521</v>
      </c>
    </row>
    <row r="33" spans="3:8">
      <c r="C33" s="68" t="str">
        <f>+IF(Índice!$D$2=1,"Transferências capital","Capital transfers")</f>
        <v>Capital transfers</v>
      </c>
      <c r="D33" s="56">
        <v>44214.761210000011</v>
      </c>
      <c r="E33" s="56">
        <v>2018.1391799999999</v>
      </c>
      <c r="F33" s="56">
        <v>782.37568999999996</v>
      </c>
      <c r="G33" s="56">
        <v>15131.556730000011</v>
      </c>
      <c r="H33" s="56">
        <v>15.032671208728377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4176.6232</v>
      </c>
      <c r="E34" s="56">
        <v>0</v>
      </c>
      <c r="F34" s="56">
        <v>0</v>
      </c>
      <c r="G34" s="56">
        <v>4176.6232</v>
      </c>
      <c r="H34" s="56">
        <v>-39.171482472408684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31883.719349999999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1008597.4830500003</v>
      </c>
      <c r="E38" s="86">
        <v>378668.94839999994</v>
      </c>
      <c r="F38" s="86">
        <v>356426.62355999963</v>
      </c>
      <c r="G38" s="86">
        <v>1136375.36314</v>
      </c>
      <c r="H38" s="86">
        <v>8.3336909701688491</v>
      </c>
    </row>
    <row r="39" spans="3:8" ht="17.25" customHeight="1">
      <c r="C39" s="138" t="str">
        <f>+IF(Índice!$D$2=1,"Saldo global","Overall balance")</f>
        <v>Overall balance</v>
      </c>
      <c r="D39" s="139">
        <v>119934.04204999993</v>
      </c>
      <c r="E39" s="139">
        <v>22077.114000000118</v>
      </c>
      <c r="F39" s="139">
        <v>-26647.726589999627</v>
      </c>
      <c r="G39" s="139">
        <v>115363.42946000048</v>
      </c>
      <c r="H39" s="139">
        <v>-26.772918090963149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104000.98382999981</v>
      </c>
      <c r="E41" s="19">
        <v>20347.500840000168</v>
      </c>
      <c r="F41" s="19">
        <v>-29913.971419999609</v>
      </c>
      <c r="G41" s="19">
        <v>94434.513250000309</v>
      </c>
      <c r="H41" s="19">
        <v>-30.977232985235158</v>
      </c>
    </row>
    <row r="42" spans="3:8">
      <c r="C42" s="68" t="str">
        <f>+IF(Índice!$D$2=1,"Despesa corrente primária","Primary current expenditure")</f>
        <v>Primary current expenditure</v>
      </c>
      <c r="D42" s="19">
        <v>837493.5681500003</v>
      </c>
      <c r="E42" s="19">
        <v>373031.37682999991</v>
      </c>
      <c r="F42" s="19">
        <v>300658.21141999966</v>
      </c>
      <c r="G42" s="19">
        <v>935749.18388000014</v>
      </c>
      <c r="H42" s="19">
        <v>7.6627666265421945</v>
      </c>
    </row>
    <row r="43" spans="3:8">
      <c r="C43" s="68" t="str">
        <f>+IF(Índice!$D$2=1,"Saldo corrente primário","Primary current balance")</f>
        <v>Primary current balance</v>
      </c>
      <c r="D43" s="19">
        <v>188820.86370999983</v>
      </c>
      <c r="E43" s="19">
        <v>22568.379820000147</v>
      </c>
      <c r="F43" s="19">
        <v>-29335.382679999631</v>
      </c>
      <c r="G43" s="19">
        <v>182053.86085000029</v>
      </c>
      <c r="H43" s="19">
        <v>-19.790687184168654</v>
      </c>
    </row>
    <row r="44" spans="3:8">
      <c r="C44" s="68" t="str">
        <f>+IF(Índice!$D$2=1,"Saldo de capital","Capital balance")</f>
        <v>Capital balance</v>
      </c>
      <c r="D44" s="19">
        <v>15933.058220000079</v>
      </c>
      <c r="E44" s="19">
        <v>1729.6131600000008</v>
      </c>
      <c r="F44" s="19">
        <v>3266.2448300000033</v>
      </c>
      <c r="G44" s="19">
        <v>20928.916210000083</v>
      </c>
      <c r="H44" s="19">
        <v>0.98119763343249566</v>
      </c>
    </row>
    <row r="45" spans="3:8">
      <c r="C45" s="68" t="str">
        <f t="array" ref="C45">+IF(Índice!$D$2=1,"Despesa primária","Primary expenditure")</f>
        <v>Primary expenditure</v>
      </c>
      <c r="D45" s="19">
        <v>923777.60317000025</v>
      </c>
      <c r="E45" s="19">
        <v>376448.06941999996</v>
      </c>
      <c r="F45" s="19">
        <v>355848.03481999965</v>
      </c>
      <c r="G45" s="19">
        <v>1048756.0155400001</v>
      </c>
      <c r="H45" s="19">
        <v>9.3819850766505795</v>
      </c>
    </row>
    <row r="46" spans="3:8">
      <c r="C46" s="221" t="str">
        <f>+IF(Índice!$D$2=1,"Saldo primário","Primary balance")</f>
        <v>Primary balance</v>
      </c>
      <c r="D46" s="132">
        <v>204753.92192999995</v>
      </c>
      <c r="E46" s="132">
        <v>24297.992980000097</v>
      </c>
      <c r="F46" s="132">
        <v>-26069.13784999965</v>
      </c>
      <c r="G46" s="132">
        <v>202982.77706000046</v>
      </c>
      <c r="H46" s="132">
        <v>-18.052654954244385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J15" sqref="J1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(janeiro-julho)","TABLE II - Regional Gov. budget execution (january-july)")</f>
        <v>TABLE II - Regional Gov. budget execution (january-july)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1001473.4546899998</v>
      </c>
      <c r="E5" s="225">
        <v>1026314.4318600001</v>
      </c>
      <c r="F5" s="225">
        <v>2.4804428967804881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811382.63543999987</v>
      </c>
      <c r="E6" s="231">
        <v>794649.84988000011</v>
      </c>
      <c r="F6" s="231">
        <v>-2.0622558123795431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314606.755</v>
      </c>
      <c r="E7" s="231">
        <v>281786.61911000003</v>
      </c>
      <c r="F7" s="231">
        <v>-10.432114176950835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496775.88043999992</v>
      </c>
      <c r="E8" s="231">
        <v>512863.23077000008</v>
      </c>
      <c r="F8" s="231">
        <v>3.238351732324718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190090.81925</v>
      </c>
      <c r="E9" s="231">
        <v>231664.58198000002</v>
      </c>
      <c r="F9" s="231">
        <v>21.870473752508701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92650.574229999998</v>
      </c>
      <c r="E10" s="232">
        <v>102217.09323999999</v>
      </c>
      <c r="F10" s="232">
        <v>10.325374763735006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1094124.0289199997</v>
      </c>
      <c r="E12" s="232">
        <v>1128531.5251000002</v>
      </c>
      <c r="F12" s="232">
        <v>3.1447528132586333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896743.48269000044</v>
      </c>
      <c r="E14" s="232">
        <v>922313.44803000044</v>
      </c>
      <c r="F14" s="232">
        <v>2.8514247199540987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296818.30192000041</v>
      </c>
      <c r="E15" s="231">
        <v>313284.86255000037</v>
      </c>
      <c r="F15" s="231">
        <v>5.5476904636554636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115632.48226000006</v>
      </c>
      <c r="E16" s="231">
        <v>110589.08029000007</v>
      </c>
      <c r="F16" s="231">
        <v>-4.3615789192001264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89104.126479999992</v>
      </c>
      <c r="E17" s="231">
        <v>84819.879880000037</v>
      </c>
      <c r="F17" s="231">
        <v>-4.8081348970539395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375859.02827000001</v>
      </c>
      <c r="E18" s="231">
        <v>411818.20413999993</v>
      </c>
      <c r="F18" s="231">
        <v>9.5671975834962453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323954.06735999999</v>
      </c>
      <c r="E19" s="231">
        <v>362183.19527999993</v>
      </c>
      <c r="F19" s="231">
        <v>11.80078652246619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51904.960910000023</v>
      </c>
      <c r="E20" s="231">
        <v>49635.008859999987</v>
      </c>
      <c r="F20" s="231">
        <v>-4.3732853473023354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18771.262149999999</v>
      </c>
      <c r="E21" s="231">
        <v>1231.4392399999999</v>
      </c>
      <c r="F21" s="231">
        <v>-93.439763239362136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558.28161000000023</v>
      </c>
      <c r="E22" s="231">
        <v>569.98193000000015</v>
      </c>
      <c r="F22" s="231">
        <v>2.0957738514796986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79770.739639999956</v>
      </c>
      <c r="E23" s="232">
        <v>86284.035019999952</v>
      </c>
      <c r="F23" s="232">
        <v>8.1650181625418927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58044.683029999949</v>
      </c>
      <c r="E24" s="231">
        <v>42069.273809999948</v>
      </c>
      <c r="F24" s="231">
        <v>-27.52260566526521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21726.056610000003</v>
      </c>
      <c r="E25" s="231">
        <v>44214.761209999997</v>
      </c>
      <c r="F25" s="231">
        <v>103.51029182925427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17814.424900000002</v>
      </c>
      <c r="E26" s="231">
        <v>36060.342550000001</v>
      </c>
      <c r="F26" s="231">
        <v>102.42215368962037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3911.6317100000001</v>
      </c>
      <c r="E27" s="231">
        <v>8154.4186599999994</v>
      </c>
      <c r="F27" s="231">
        <v>108.46591050873751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976514.22233000037</v>
      </c>
      <c r="E29" s="235">
        <v>1008597.4830500004</v>
      </c>
      <c r="F29" s="235">
        <v>3.2854883202262153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117609.80658999941</v>
      </c>
      <c r="E31" s="139">
        <v>119934.04204999973</v>
      </c>
      <c r="F31" s="139">
        <v>1.976225901044848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104729.97199999937</v>
      </c>
      <c r="E33" s="19">
        <v>104000.98382999969</v>
      </c>
      <c r="F33" s="19">
        <v>-0.696064513413297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12879.834590000042</v>
      </c>
      <c r="E34" s="19">
        <v>15933.058220000035</v>
      </c>
      <c r="F34" s="19">
        <v>23.705456841584983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206713.93306999939</v>
      </c>
      <c r="E35" s="19">
        <v>204753.92192999978</v>
      </c>
      <c r="F35" s="19">
        <v>-0.94817563136195826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8377.4151999999995</v>
      </c>
      <c r="E36" s="106">
        <v>39835.067080000001</v>
      </c>
      <c r="F36" s="106">
        <v>375.50546474048463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6"/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J15" sqref="J15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(julho)","TABLE III - Regional Gov. budget execution (july)")</f>
        <v>TABLE III - Regional Gov. budget execution (july)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v>2024</v>
      </c>
      <c r="E3" s="293">
        <v>2025</v>
      </c>
      <c r="F3" s="293" t="s">
        <v>101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213492.92743999994</v>
      </c>
      <c r="E5" s="225">
        <v>157014.05063999997</v>
      </c>
      <c r="F5" s="225">
        <v>-26.454682821224974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221990.76864999998</v>
      </c>
      <c r="E6" s="231">
        <v>152129.17906999995</v>
      </c>
      <c r="F6" s="231">
        <v>-31.470493122237329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152004.24638999999</v>
      </c>
      <c r="E7" s="231">
        <v>86116.471520000006</v>
      </c>
      <c r="F7" s="231">
        <v>-43.346009361442803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69986.522259999983</v>
      </c>
      <c r="E8" s="231">
        <v>66012.707549999948</v>
      </c>
      <c r="F8" s="231">
        <v>-5.6779713888872934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-8497.8412100000023</v>
      </c>
      <c r="E9" s="231">
        <v>4884.8715700000139</v>
      </c>
      <c r="F9" s="231">
        <v>-157.48367672782172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209.60195999999547</v>
      </c>
      <c r="E10" s="232">
        <v>-1.292769999995059</v>
      </c>
      <c r="F10" s="232">
        <v>-100.61677381260894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213702.52939999994</v>
      </c>
      <c r="E12" s="232">
        <v>157012.75786999997</v>
      </c>
      <c r="F12" s="232">
        <v>-26.527421874305613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123614.82697000031</v>
      </c>
      <c r="E14" s="232">
        <v>112813.80875000112</v>
      </c>
      <c r="F14" s="232">
        <v>-8.7376397190771176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34340.025210000334</v>
      </c>
      <c r="E15" s="231">
        <v>36647.714360000908</v>
      </c>
      <c r="F15" s="231">
        <v>6.7201148976691494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33682.808840000092</v>
      </c>
      <c r="E16" s="231">
        <v>34202.581080000054</v>
      </c>
      <c r="F16" s="231">
        <v>1.5431380514284943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646.56340000000591</v>
      </c>
      <c r="E17" s="231">
        <v>1227.0361299999952</v>
      </c>
      <c r="F17" s="231">
        <v>89.778160966114683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52037.60242999989</v>
      </c>
      <c r="E18" s="231">
        <v>40634.677390000164</v>
      </c>
      <c r="F18" s="231">
        <v>-21.912856295289064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2886.1644700000006</v>
      </c>
      <c r="E19" s="231">
        <v>23.743599999999859</v>
      </c>
      <c r="F19" s="231">
        <v>-99.177330320333411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21.662620000000111</v>
      </c>
      <c r="E20" s="231">
        <v>78.056190000000115</v>
      </c>
      <c r="F20" s="231">
        <v>260.32663639024139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21595.802789999972</v>
      </c>
      <c r="E21" s="232">
        <v>14194.233529999987</v>
      </c>
      <c r="F21" s="232">
        <v>-34.27318415515127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15205.79248999998</v>
      </c>
      <c r="E22" s="231">
        <v>5642.0785299999861</v>
      </c>
      <c r="F22" s="231">
        <v>-62.895202379550597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6390.0102999999917</v>
      </c>
      <c r="E23" s="231">
        <v>8552.1550000000007</v>
      </c>
      <c r="F23" s="231">
        <v>33.836325741133955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v>145210.62976000027</v>
      </c>
      <c r="E25" s="300">
        <v>127008.0422800011</v>
      </c>
      <c r="F25" s="300">
        <v>-12.53529959210552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v>68491.899639999669</v>
      </c>
      <c r="E27" s="287">
        <v>30004.715589998872</v>
      </c>
      <c r="F27" s="287">
        <v>-56.192315080021601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89878.100469999627</v>
      </c>
      <c r="E29" s="19">
        <v>44200.241889998855</v>
      </c>
      <c r="F29" s="19">
        <v>-50.822011525763799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-21386.200829999976</v>
      </c>
      <c r="E30" s="19">
        <v>-14195.526299999981</v>
      </c>
      <c r="F30" s="19">
        <v>33.622963644450174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69138.463039999668</v>
      </c>
      <c r="E31" s="19">
        <v>31231.751719998869</v>
      </c>
      <c r="F31" s="19">
        <v>-54.827240371354627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6"/>
      <c r="E33" s="326"/>
      <c r="F33" s="326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J15" sqref="J15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(janeiro-julho)","TABLE IV - Regional Gov. tax revenue budget execution (january-july)")</f>
        <v>TABLE IV - Regional Gov. tax revenue budget execution (january-july)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Execution level (%)</v>
      </c>
      <c r="G3" s="240" t="str">
        <f>+IF(Índice!$D$2=1,"VH (%)","yoy change (%)")</f>
        <v>yoy change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811382.63543999987</v>
      </c>
      <c r="E5" s="33">
        <v>794649.84988000011</v>
      </c>
      <c r="F5" s="270">
        <v>0.65578940276607012</v>
      </c>
      <c r="G5" s="270">
        <v>-2.0622558123795431E-2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314606.755</v>
      </c>
      <c r="E7" s="70">
        <v>281786.61911000003</v>
      </c>
      <c r="F7" s="271">
        <v>0.67091955364940592</v>
      </c>
      <c r="G7" s="271">
        <v>-0.10432114176950835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127615.80499</v>
      </c>
      <c r="E8" s="70">
        <v>140854.86156999998</v>
      </c>
      <c r="F8" s="271">
        <v>0.60313554818386772</v>
      </c>
      <c r="G8" s="271">
        <v>0.10374151211942273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186990.95001</v>
      </c>
      <c r="E9" s="70">
        <v>140931.75753999999</v>
      </c>
      <c r="F9" s="271">
        <v>0.75581640633800751</v>
      </c>
      <c r="G9" s="271">
        <v>-0.24631776279834305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496775.88043999992</v>
      </c>
      <c r="E11" s="70">
        <v>512863.23077000008</v>
      </c>
      <c r="F11" s="271">
        <v>0.64776324095013238</v>
      </c>
      <c r="G11" s="271">
        <v>3.238351732324718E-2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23136.04206</v>
      </c>
      <c r="E12" s="70">
        <v>31183.576079999999</v>
      </c>
      <c r="F12" s="271">
        <v>0.61059348833449822</v>
      </c>
      <c r="G12" s="271">
        <v>0.3478353816581885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400331.78644</v>
      </c>
      <c r="E13" s="70">
        <v>400675.69196999999</v>
      </c>
      <c r="F13" s="271">
        <v>0.67120252879628506</v>
      </c>
      <c r="G13" s="271">
        <v>8.5905127109242585E-4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4098.23164</v>
      </c>
      <c r="E14" s="70">
        <v>4584.5762000000004</v>
      </c>
      <c r="F14" s="271">
        <v>0.62901315246081446</v>
      </c>
      <c r="G14" s="271">
        <v>0.11867180840954128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21636.648789999999</v>
      </c>
      <c r="E15" s="70">
        <v>26594.601870000002</v>
      </c>
      <c r="F15" s="271">
        <v>0.52028661775592744</v>
      </c>
      <c r="G15" s="271">
        <v>0.2291460719319649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6822.1525799999999</v>
      </c>
      <c r="E16" s="70">
        <v>6416.0540799999999</v>
      </c>
      <c r="F16" s="271">
        <v>0.50266506446139381</v>
      </c>
      <c r="G16" s="271">
        <v>-5.9526446416711454E-2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40751.018930000006</v>
      </c>
      <c r="E17" s="70">
        <v>43408.73057</v>
      </c>
      <c r="F17" s="271">
        <v>0.59829493183338711</v>
      </c>
      <c r="G17" s="271">
        <v>6.521828680076136E-2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22110.543900000001</v>
      </c>
      <c r="E18" s="70">
        <v>24858.499159999999</v>
      </c>
      <c r="F18" s="271">
        <v>0.60166761448349304</v>
      </c>
      <c r="G18" s="271">
        <v>0.12428257180955193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5473.4770199999994</v>
      </c>
      <c r="E19" s="70">
        <v>5924.0362300000006</v>
      </c>
      <c r="F19" s="271">
        <v>0.64699725104300909</v>
      </c>
      <c r="G19" s="271">
        <v>8.2316817692604793E-2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282741.39347999997</v>
      </c>
      <c r="E21" s="33">
        <v>333881.67521999998</v>
      </c>
      <c r="F21" s="270">
        <v>0.46608449330446278</v>
      </c>
      <c r="G21" s="270">
        <v>0.18087299178433702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1094124.02892</v>
      </c>
      <c r="E23" s="139">
        <v>1128531.5251000002</v>
      </c>
      <c r="F23" s="274">
        <v>0.58530760519733938</v>
      </c>
      <c r="G23" s="274">
        <v>3.1447528132586111E-2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J15" sqref="J1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(janeiro-julho)","TABLE V - Regional Gov. non-tax revenue budget execution (january-july)")</f>
        <v>TABLE V - Regional Gov. non-tax revenue budget execution (january-july)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2024</v>
      </c>
      <c r="E3" s="156">
        <v>2025</v>
      </c>
      <c r="F3" s="226" t="str">
        <f>+IF(Índice!$D$2=1,"Grau de Execução (%)","Execution level (%)")</f>
        <v>Execution level (%)</v>
      </c>
      <c r="G3" s="226" t="str">
        <f>+IF(Índice!$D$2=1,"VH (%)","yoy change (%)")</f>
        <v>yoy change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811382.63543999987</v>
      </c>
      <c r="E5" s="41">
        <v>794649.84988000011</v>
      </c>
      <c r="F5" s="276">
        <v>0.65578940276607012</v>
      </c>
      <c r="G5" s="42">
        <v>-2.0622558123795431E-2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282741.39347999997</v>
      </c>
      <c r="E7" s="41">
        <v>333881.67521999998</v>
      </c>
      <c r="F7" s="276">
        <v>0.46608449330446278</v>
      </c>
      <c r="G7" s="42">
        <v>0.18087299178433702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190090.81925</v>
      </c>
      <c r="E8" s="41">
        <v>231664.58198000002</v>
      </c>
      <c r="F8" s="276">
        <v>0.55043439008983175</v>
      </c>
      <c r="G8" s="42">
        <v>0.21870473752508701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18947.317739999999</v>
      </c>
      <c r="E10" s="71">
        <v>18950.402379999992</v>
      </c>
      <c r="F10" s="278">
        <v>0.35377076966022486</v>
      </c>
      <c r="G10" s="43">
        <v>1.6280087990927505E-4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4838.8078199999991</v>
      </c>
      <c r="E11" s="71">
        <v>3032.4133600000005</v>
      </c>
      <c r="F11" s="278">
        <v>0.59514048464366132</v>
      </c>
      <c r="G11" s="43">
        <v>-0.37331394988115052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157129.72606000002</v>
      </c>
      <c r="E12" s="71">
        <v>199777.99660000001</v>
      </c>
      <c r="F12" s="278">
        <v>0.58065340753684358</v>
      </c>
      <c r="G12" s="43">
        <v>0.27142076556357475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7752.1463999999996</v>
      </c>
      <c r="E13" s="47">
        <v>8017.98488</v>
      </c>
      <c r="F13" s="278">
        <v>0.46915959595557688</v>
      </c>
      <c r="G13" s="43">
        <v>3.4292241952499802E-2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1422.8212299999996</v>
      </c>
      <c r="E14" s="71">
        <v>1885.78476</v>
      </c>
      <c r="F14" s="278">
        <v>1.7683387721114463</v>
      </c>
      <c r="G14" s="43">
        <v>0.3253841875834258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92650.574229999998</v>
      </c>
      <c r="E17" s="41">
        <v>102217.09323999999</v>
      </c>
      <c r="F17" s="276">
        <v>0.34593753158436524</v>
      </c>
      <c r="G17" s="42">
        <v>0.10325374763735007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871.65354000000002</v>
      </c>
      <c r="E18" s="71">
        <v>1458.6978900000001</v>
      </c>
      <c r="F18" s="278">
        <v>0.30012173804624109</v>
      </c>
      <c r="G18" s="43">
        <v>0.67348358385603535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87996.386910000001</v>
      </c>
      <c r="E19" s="44">
        <v>97995.011289999995</v>
      </c>
      <c r="F19" s="278">
        <v>0.34877672983423774</v>
      </c>
      <c r="G19" s="43">
        <v>0.11362539680437433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19.062529999999999</v>
      </c>
      <c r="E20" s="71">
        <v>14.765610000000001</v>
      </c>
      <c r="F20" s="278">
        <v>0.65997452286237879</v>
      </c>
      <c r="G20" s="43">
        <v>-0.22541184197480602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3763.4712499999996</v>
      </c>
      <c r="E21" s="47">
        <v>2748.6184499999999</v>
      </c>
      <c r="F21" s="278">
        <v>0.28548176672206066</v>
      </c>
      <c r="G21" s="43">
        <v>-0.26965870936306469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1094124.02892</v>
      </c>
      <c r="E23" s="287">
        <v>1128531.5251000002</v>
      </c>
      <c r="F23" s="288">
        <v>0.58530760519733938</v>
      </c>
      <c r="G23" s="288">
        <v>3.1447528132586111E-2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J15" sqref="J1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(janeiro-julho)","TABLE VI - Regional Gov. expenditure budget execution (january-july)")</f>
        <v>TABLE VI - Regional Gov. expenditure budget execution (january-july)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8">
        <v>2024</v>
      </c>
      <c r="E3" s="330">
        <v>2025</v>
      </c>
      <c r="F3" s="153">
        <v>2024</v>
      </c>
      <c r="G3" s="153">
        <v>2025</v>
      </c>
      <c r="H3" s="331" t="str">
        <f>+IF(Índice!$D$2=1,"VH (%)","yoy change (%)")</f>
        <v>yoy change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Execution level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896743.48269000044</v>
      </c>
      <c r="E5" s="253">
        <v>922313.44803000044</v>
      </c>
      <c r="F5" s="253">
        <v>57.637791359007707</v>
      </c>
      <c r="G5" s="253">
        <v>55.085221722074074</v>
      </c>
      <c r="H5" s="253">
        <v>2.851424719954101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296818.30192000041</v>
      </c>
      <c r="E6" s="74">
        <v>313284.86255000037</v>
      </c>
      <c r="F6" s="74">
        <v>62.219831641085598</v>
      </c>
      <c r="G6" s="74">
        <v>61.452859285681924</v>
      </c>
      <c r="H6" s="254">
        <v>5.5476904636554698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242824.15207000024</v>
      </c>
      <c r="E7" s="75">
        <v>247703.73620000042</v>
      </c>
      <c r="F7" s="75">
        <v>63.937639404683779</v>
      </c>
      <c r="G7" s="75">
        <v>62.229656623768172</v>
      </c>
      <c r="H7" s="254">
        <v>2.0095135053096005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2939.9781199999993</v>
      </c>
      <c r="E8" s="75">
        <v>11829.737480000003</v>
      </c>
      <c r="F8" s="75">
        <v>25.279826720115832</v>
      </c>
      <c r="G8" s="75">
        <v>79.43128809454349</v>
      </c>
      <c r="H8" s="254">
        <v>302.37501767530182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51054.171730000016</v>
      </c>
      <c r="E9" s="75">
        <v>53751.388869999937</v>
      </c>
      <c r="F9" s="75">
        <v>59.618201123112812</v>
      </c>
      <c r="G9" s="75">
        <v>55.496033204746865</v>
      </c>
      <c r="H9" s="254">
        <v>5.2830494523819782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115632.48226000006</v>
      </c>
      <c r="E10" s="75">
        <v>110589.08029000007</v>
      </c>
      <c r="F10" s="75">
        <v>53.996915129953614</v>
      </c>
      <c r="G10" s="75">
        <v>49.424374337702211</v>
      </c>
      <c r="H10" s="254">
        <v>-4.3615789192001291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89104.126479999992</v>
      </c>
      <c r="E11" s="75">
        <v>84819.879880000037</v>
      </c>
      <c r="F11" s="75">
        <v>60.69587829223957</v>
      </c>
      <c r="G11" s="75">
        <v>61.570419194248984</v>
      </c>
      <c r="H11" s="254">
        <v>-4.8081348970539342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375859.02827000001</v>
      </c>
      <c r="E12" s="74">
        <v>411818.20413999993</v>
      </c>
      <c r="F12" s="74">
        <v>56.052873095671941</v>
      </c>
      <c r="G12" s="74">
        <v>52.630537432235492</v>
      </c>
      <c r="H12" s="254">
        <v>9.5671975834962488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323954.06735999999</v>
      </c>
      <c r="E13" s="74">
        <v>362183.19527999993</v>
      </c>
      <c r="F13" s="74">
        <v>58.565871685360847</v>
      </c>
      <c r="G13" s="74">
        <v>56.425057823372818</v>
      </c>
      <c r="H13" s="254">
        <v>11.800786522466195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105.28400000000001</v>
      </c>
      <c r="E14" s="75">
        <v>0</v>
      </c>
      <c r="F14" s="74">
        <v>21.930785670542459</v>
      </c>
      <c r="G14" s="74">
        <v>0</v>
      </c>
      <c r="H14" s="254">
        <v>-100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323848.78336</v>
      </c>
      <c r="E15" s="75">
        <v>362183.19527999993</v>
      </c>
      <c r="F15" s="75">
        <v>58.597694871835635</v>
      </c>
      <c r="G15" s="75">
        <v>56.463935366192089</v>
      </c>
      <c r="H15" s="254">
        <v>11.837133220718709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102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102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51904.960910000023</v>
      </c>
      <c r="E18" s="75">
        <v>49635.008859999987</v>
      </c>
      <c r="F18" s="72">
        <v>44.212459413498159</v>
      </c>
      <c r="G18" s="72">
        <v>35.305680496259988</v>
      </c>
      <c r="H18" s="77">
        <v>-4.3732853473023354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18771.262149999999</v>
      </c>
      <c r="E19" s="72">
        <v>1231.4392399999999</v>
      </c>
      <c r="F19" s="72">
        <v>42.337726537561892</v>
      </c>
      <c r="G19" s="72">
        <v>8.586478366096971</v>
      </c>
      <c r="H19" s="77">
        <v>-93.439763239362151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558.28161000000023</v>
      </c>
      <c r="E20" s="72">
        <v>569.98193000000015</v>
      </c>
      <c r="F20" s="72">
        <v>18.947910366609861</v>
      </c>
      <c r="G20" s="72">
        <v>9.1702573384495363</v>
      </c>
      <c r="H20" s="77">
        <v>2.0957738514797066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807639.35621000046</v>
      </c>
      <c r="E22" s="78">
        <v>837493.56815000041</v>
      </c>
      <c r="F22" s="78">
        <v>57.319172934916509</v>
      </c>
      <c r="G22" s="78">
        <v>54.50379629601111</v>
      </c>
      <c r="H22" s="76">
        <v>3.6964781013268659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79770.739639999956</v>
      </c>
      <c r="E24" s="78">
        <v>86284.035019999952</v>
      </c>
      <c r="F24" s="78">
        <v>26.422144897506978</v>
      </c>
      <c r="G24" s="78">
        <v>24.430357043333846</v>
      </c>
      <c r="H24" s="76">
        <v>8.1650181625418856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58044.683029999949</v>
      </c>
      <c r="E25" s="72">
        <v>42069.273809999948</v>
      </c>
      <c r="F25" s="72">
        <v>29.94729192633573</v>
      </c>
      <c r="G25" s="72">
        <v>24.778966017214255</v>
      </c>
      <c r="H25" s="77">
        <v>-27.522605665265214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21726.056610000003</v>
      </c>
      <c r="E26" s="59">
        <v>44214.761209999997</v>
      </c>
      <c r="F26" s="59">
        <v>20.100743831055606</v>
      </c>
      <c r="G26" s="59">
        <v>24.146098875070781</v>
      </c>
      <c r="H26" s="77">
        <v>103.51029182925429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17814.424900000002</v>
      </c>
      <c r="E27" s="59">
        <v>36060.342550000001</v>
      </c>
      <c r="F27" s="59">
        <v>24.94297954412227</v>
      </c>
      <c r="G27" s="59">
        <v>33.076830316903667</v>
      </c>
      <c r="H27" s="77">
        <v>102.42215368962036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6394.6112499999999</v>
      </c>
      <c r="E28" s="72">
        <v>4176.6232</v>
      </c>
      <c r="F28" s="72">
        <v>83.433086185028642</v>
      </c>
      <c r="G28" s="72">
        <v>25.144816687261347</v>
      </c>
      <c r="H28" s="77">
        <v>-34.685268005932343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10949.034290000001</v>
      </c>
      <c r="E29" s="72">
        <v>31883.719349999999</v>
      </c>
      <c r="F29" s="72">
        <v>19.017238084914371</v>
      </c>
      <c r="G29" s="72">
        <v>38.325200155191737</v>
      </c>
      <c r="H29" s="77">
        <v>191.20120099651265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470.77936</v>
      </c>
      <c r="E30" s="72">
        <v>0</v>
      </c>
      <c r="F30" s="72">
        <v>7.6153528232149688</v>
      </c>
      <c r="G30" s="72">
        <v>0</v>
      </c>
      <c r="H30" s="77">
        <v>-100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976514.22233000037</v>
      </c>
      <c r="E33" s="142">
        <v>1008597.4830500004</v>
      </c>
      <c r="F33" s="143">
        <v>52.564797834651699</v>
      </c>
      <c r="G33" s="143">
        <v>49.745307559814506</v>
      </c>
      <c r="H33" s="141">
        <v>3.2854883202262153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8377.4151999999995</v>
      </c>
      <c r="E36" s="150">
        <v>39835.067080000001</v>
      </c>
      <c r="F36" s="150">
        <v>17.585465070829994</v>
      </c>
      <c r="G36" s="150">
        <v>72.278077382065774</v>
      </c>
      <c r="H36" s="128">
        <v>375.50546474048463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181199.22270999997</v>
      </c>
      <c r="E37" s="150">
        <v>395220.11556999997</v>
      </c>
      <c r="F37" s="150">
        <v>68.434639623265838</v>
      </c>
      <c r="G37" s="150">
        <v>85.229487729739233</v>
      </c>
      <c r="H37" s="128">
        <v>118.1135821992622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J15" sqref="J15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(janeiro-julho)","TABLE VII - Regional Gov. expenditure by functional classification (january-july)")</f>
        <v>TABLE VII - Regional Gov. expenditure by functional classification (january-july)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30">
        <v>2024</v>
      </c>
      <c r="E3" s="333">
        <v>2025</v>
      </c>
      <c r="F3" s="334" t="str">
        <f>+IF(Índice!$D$2=1,"Peso na estrutura
 em 2025","Weight in 2025 structure")</f>
        <v>Weight in 2025 structure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153195.10887999996</v>
      </c>
      <c r="E5" s="34">
        <v>154644.25376000014</v>
      </c>
      <c r="F5" s="34">
        <v>15.332603576637508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7546.9941100000005</v>
      </c>
      <c r="E7" s="34">
        <v>8834.7497700000004</v>
      </c>
      <c r="F7" s="34">
        <v>0.87594406276760761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177616.65025000006</v>
      </c>
      <c r="E8" s="34">
        <v>162053.25870999997</v>
      </c>
      <c r="F8" s="34">
        <v>16.067188490293546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11382.315299999998</v>
      </c>
      <c r="E9" s="34">
        <v>5463.7494399999996</v>
      </c>
      <c r="F9" s="34">
        <v>0.54171753666067224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41209.655379999997</v>
      </c>
      <c r="E10" s="34">
        <v>53982.363139999979</v>
      </c>
      <c r="F10" s="34">
        <v>5.3522206873605578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278126.24817999982</v>
      </c>
      <c r="E11" s="34">
        <v>296839.96630999993</v>
      </c>
      <c r="F11" s="34">
        <v>29.430964413311404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19765.510980000006</v>
      </c>
      <c r="E12" s="34">
        <v>20987.429710000004</v>
      </c>
      <c r="F12" s="34">
        <v>2.0808528736889169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274014.57066999981</v>
      </c>
      <c r="E13" s="34">
        <v>287244.5407599996</v>
      </c>
      <c r="F13" s="34">
        <v>28.47960118751951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13657.16858</v>
      </c>
      <c r="E14" s="34">
        <v>18547.171450000002</v>
      </c>
      <c r="F14" s="34">
        <v>1.8389071717602685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976514.22232999979</v>
      </c>
      <c r="E17" s="145">
        <v>1008597.4830499997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8377.4151999999995</v>
      </c>
      <c r="E20" s="152">
        <v>39835.067080000001</v>
      </c>
      <c r="F20" s="152">
        <v>3.9495505143973513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181199.22270999997</v>
      </c>
      <c r="E21" s="283">
        <v>395220.11556999997</v>
      </c>
      <c r="F21" s="283">
        <v>39.185118167740612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4.xml><?xml version="1.0" encoding="utf-8"?>
<LongProperties xmlns="http://schemas.microsoft.com/office/2006/metadata/longProperties"/>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2025-09-29T11:48:43Z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