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Setembro\"/>
    </mc:Choice>
  </mc:AlternateContent>
  <xr:revisionPtr revIDLastSave="0" documentId="8_{39E2B826-19EA-406C-A174-B2C8C5857685}" xr6:coauthVersionLast="47" xr6:coauthVersionMax="47" xr10:uidLastSave="{00000000-0000-0000-0000-000000000000}"/>
  <bookViews>
    <workbookView xWindow="-120" yWindow="-120" windowWidth="29040" windowHeight="15840" tabRatio="953" firstSheet="1" activeTab="1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D3" i="61"/>
  <c r="C2" i="61"/>
  <c r="D24" i="38"/>
  <c r="C23" i="38"/>
  <c r="D3" i="38"/>
  <c r="C2" i="38"/>
  <c r="C2" i="32"/>
  <c r="C2" i="8"/>
  <c r="C2" i="60"/>
  <c r="A14" i="54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<sst xmlns="http://schemas.openxmlformats.org/spreadsheetml/2006/main" count="130" uniqueCount="111">
  <si>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</si>
  <si>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</si>
  <si>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</si>
  <si>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</si>
  <si>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</si>
  <si>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</si>
  <si>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</si>
  <si>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</si>
  <si>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</si>
  <si>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</si>
  <si>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</si>
  <si>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</si>
  <si>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</si>
  <si>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</si>
  <si>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</si>
  <si>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</si>
  <si>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</si>
  <si>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</si>
  <si>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</si>
  <si>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</si>
  <si>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</si>
  <si>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</si>
  <si>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</si>
  <si>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</si>
  <si>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</si>
  <si>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</si>
  <si>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</si>
  <si>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</si>
  <si>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</si>
  <si>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</si>
  <si>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</si>
  <si>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</si>
  <si>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</si>
  <si>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</si>
  <si>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</si>
  <si>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</si>
  <si>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</si>
  <si>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</si>
  <si>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</si>
  <si>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</si>
  <si>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</si>
  <si>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</si>
  <si>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</si>
  <si>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</si>
  <si>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</si>
  <si>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</si>
  <si>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</si>
  <si>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</si>
  <si>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</si>
  <si>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</si>
  <si>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</si>
  <si>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</si>
  <si>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</si>
  <si>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</si>
  <si>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</si>
  <si>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</si>
  <si>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</si>
  <si>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</si>
  <si>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</si>
  <si>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</si>
  <si>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</si>
  <si>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</si>
  <si>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</si>
  <si>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</si>
  <si>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</si>
  <si>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</si>
  <si>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</si>
  <si>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</si>
  <si>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</si>
  <si>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</si>
  <si>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</si>
  <si>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</si>
  <si>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</si>
  <si>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</si>
  <si>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</si>
  <si>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</si>
  <si>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</si>
  <si>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</si>
  <si>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</si>
  <si>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</si>
  <si>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</si>
  <si>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</si>
  <si>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</si>
  <si>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</si>
  <si>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</si>
  <si>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</si>
  <si>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</si>
  <si>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</si>
  <si>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</si>
  <si>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</si>
  <si>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</si>
  <si>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</si>
  <si>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</si>
  <si>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</si>
  <si>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</si>
  <si>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</si>
  <si>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</si>
  <si>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</si>
  <si>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</si>
  <si>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</si>
  <si>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</si>
  <si>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</si>
  <si>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</si>
  <si>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</si>
  <si>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</si>
  <si>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</si>
  <si>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</si>
  <si>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</si>
  <si>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do Património</t>
  </si>
  <si>
    <t>Direção Regional de Turismo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</si>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</sst>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6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68" fillId="0" borderId="0" xfId="0" applyFont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49" fontId="63" fillId="0" borderId="25" xfId="62" applyNumberFormat="1" applyFont="1" applyBorder="1" applyAlignment="1">
      <alignment horizontal="center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0" fontId="66" fillId="0" borderId="21" xfId="62" applyFont="1" applyBorder="1" applyAlignment="1">
      <alignment horizontal="center" vertic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R11" sqref="R1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QUADRO VII - Despesa do Governo Regional, por classificação funcional (janeiro-setembro)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2021</v>
      </c>
      <c r="E3" s="334">
        <v>2022</v>
      </c>
      <c r="F3" s="335" t="str">
        <f>+IF(Índice!$D$2=1,"Peso na estrutura
 em 2021","Weight in 2021 structure")</f>
        <v>Peso na estrutura
 em 2021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116496.01794999999</v>
      </c>
      <c r="E5" s="34">
        <v>131192.56734000004</v>
      </c>
      <c r="F5" s="34">
        <v>12.976852380540585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7581.08961</v>
      </c>
      <c r="E7" s="34">
        <v>8349.8930400000008</v>
      </c>
      <c r="F7" s="34">
        <v>0.82592582468920239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190422.84605999992</v>
      </c>
      <c r="E8" s="34">
        <v>260137.06378000011</v>
      </c>
      <c r="F8" s="34">
        <v>25.731337863308035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10644.242710000002</v>
      </c>
      <c r="E9" s="34">
        <v>12076.624760000002</v>
      </c>
      <c r="F9" s="34">
        <v>1.1945537765074226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44365.875869999996</v>
      </c>
      <c r="E10" s="34">
        <v>40080.698039999974</v>
      </c>
      <c r="F10" s="34">
        <v>3.9645637883291824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319084.07788999984</v>
      </c>
      <c r="E11" s="34">
        <v>257849.59982999999</v>
      </c>
      <c r="F11" s="34">
        <v>25.505074420135752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22634.439719999984</v>
      </c>
      <c r="E12" s="34">
        <v>21653.767309999999</v>
      </c>
      <c r="F12" s="34">
        <v>2.1418724212950924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252368.14665999982</v>
      </c>
      <c r="E13" s="34">
        <v>267414.53373000037</v>
      </c>
      <c r="F13" s="34">
        <v>26.451185451931142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17754.595309999993</v>
      </c>
      <c r="E14" s="34">
        <v>12218.972860000002</v>
      </c>
      <c r="F14" s="34">
        <v>1.2086340732635881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981351.33177999966</v>
      </c>
      <c r="E17" s="145">
        <v>1010973.7206900005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28166.532009999999</v>
      </c>
      <c r="E20" s="152">
        <v>28795.776950000003</v>
      </c>
      <c r="F20" s="152">
        <v>2.8483210157378349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155969.81319999998</v>
      </c>
      <c r="E21" s="283">
        <v>434873.03993000003</v>
      </c>
      <c r="F21" s="283">
        <v>43.015266473315897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QUADRO VIII - Execução orçamental por classificação cruzada orgânica e económica (janeiro-setembro)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25</v>
      </c>
    </row>
    <row r="4" spans="2:18" ht="27" customHeight="1">
      <c r="C4" s="253" t="str">
        <f>+IF(Índice!$D$2=1,"Despesa corrente","Current expenditure")</f>
        <v>Despesa corrente</v>
      </c>
      <c r="D4" s="194">
        <v>10300</v>
      </c>
      <c r="E4" s="194">
        <v>1787.91272</v>
      </c>
      <c r="F4" s="194">
        <v>283860.45899000007</v>
      </c>
      <c r="G4" s="194">
        <v>29480.398020000004</v>
      </c>
      <c r="H4" s="194">
        <v>119432.13755000003</v>
      </c>
      <c r="I4" s="194">
        <v>260564.73831000002</v>
      </c>
      <c r="J4" s="194">
        <v>23778.336309999995</v>
      </c>
      <c r="K4" s="194">
        <v>19458.23401</v>
      </c>
      <c r="L4" s="194">
        <v>12135.126619999997</v>
      </c>
      <c r="M4" s="194">
        <v>4890.2565700000005</v>
      </c>
      <c r="N4" s="194">
        <v>18294.550640000005</v>
      </c>
      <c r="O4" s="194">
        <v>82776.103360000008</v>
      </c>
      <c r="P4" s="194">
        <v>866758.25310000009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1195.26845</v>
      </c>
      <c r="F5" s="196">
        <v>222701.51367000007</v>
      </c>
      <c r="G5" s="196">
        <v>4509.7044299999998</v>
      </c>
      <c r="H5" s="196">
        <v>19340.805630000017</v>
      </c>
      <c r="I5" s="196">
        <v>3483.0986100000009</v>
      </c>
      <c r="J5" s="196">
        <v>8107.3985100000009</v>
      </c>
      <c r="K5" s="196">
        <v>3679.0472499999996</v>
      </c>
      <c r="L5" s="196">
        <v>3916.5294599999997</v>
      </c>
      <c r="M5" s="196">
        <v>3941.8220100000008</v>
      </c>
      <c r="N5" s="196">
        <v>12017.779700000003</v>
      </c>
      <c r="O5" s="196">
        <v>10611.366849999999</v>
      </c>
      <c r="P5" s="196">
        <v>293504.33457000006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940.19720999999993</v>
      </c>
      <c r="F6" s="198">
        <v>181128.98209000009</v>
      </c>
      <c r="G6" s="198">
        <v>3694.8582899999997</v>
      </c>
      <c r="H6" s="198">
        <v>15287.112160000017</v>
      </c>
      <c r="I6" s="198">
        <v>2769.6324000000009</v>
      </c>
      <c r="J6" s="198">
        <v>6628.9865000000009</v>
      </c>
      <c r="K6" s="198">
        <v>2910.8442899999995</v>
      </c>
      <c r="L6" s="198">
        <v>3225.1738399999995</v>
      </c>
      <c r="M6" s="198">
        <v>3150.905690000001</v>
      </c>
      <c r="N6" s="198">
        <v>9621.2688500000022</v>
      </c>
      <c r="O6" s="198">
        <v>8591.9789999999975</v>
      </c>
      <c r="P6" s="198">
        <v>237949.94032000014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18.092090000000002</v>
      </c>
      <c r="F7" s="198">
        <v>2648.4984800000007</v>
      </c>
      <c r="G7" s="198">
        <v>47.348890000000011</v>
      </c>
      <c r="H7" s="198">
        <v>677.84336000000008</v>
      </c>
      <c r="I7" s="198">
        <v>108.0968</v>
      </c>
      <c r="J7" s="198">
        <v>75.042479999999998</v>
      </c>
      <c r="K7" s="198">
        <v>153.10792999999998</v>
      </c>
      <c r="L7" s="198">
        <v>30.575200000000002</v>
      </c>
      <c r="M7" s="198">
        <v>130.15514000000002</v>
      </c>
      <c r="N7" s="198">
        <v>279.63607000000002</v>
      </c>
      <c r="O7" s="198">
        <v>188.81824</v>
      </c>
      <c r="P7" s="198">
        <v>4357.214680000001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236.97915</v>
      </c>
      <c r="F8" s="198">
        <v>38924.033099999986</v>
      </c>
      <c r="G8" s="198">
        <v>767.49724999999978</v>
      </c>
      <c r="H8" s="198">
        <v>3375.8501099999989</v>
      </c>
      <c r="I8" s="198">
        <v>605.36941000000002</v>
      </c>
      <c r="J8" s="198">
        <v>1403.3695299999999</v>
      </c>
      <c r="K8" s="198">
        <v>615.09502999999995</v>
      </c>
      <c r="L8" s="198">
        <v>660.78042000000005</v>
      </c>
      <c r="M8" s="198">
        <v>660.76118000000008</v>
      </c>
      <c r="N8" s="198">
        <v>2116.8747800000001</v>
      </c>
      <c r="O8" s="198">
        <v>1830.56961</v>
      </c>
      <c r="P8" s="198">
        <v>51197.179569999978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552.54182000000003</v>
      </c>
      <c r="F9" s="196">
        <v>11944.766769999993</v>
      </c>
      <c r="G9" s="196">
        <v>924.16068000000041</v>
      </c>
      <c r="H9" s="196">
        <v>22542.657420000007</v>
      </c>
      <c r="I9" s="196">
        <v>820.39438000000007</v>
      </c>
      <c r="J9" s="196">
        <v>6353.3570199999986</v>
      </c>
      <c r="K9" s="196">
        <v>334.5675</v>
      </c>
      <c r="L9" s="196">
        <v>949.40653999999984</v>
      </c>
      <c r="M9" s="196">
        <v>744.85650999999973</v>
      </c>
      <c r="N9" s="196">
        <v>2312.2400000000002</v>
      </c>
      <c r="O9" s="196">
        <v>68495.31167000001</v>
      </c>
      <c r="P9" s="196">
        <v>115974.26031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71.538619999999995</v>
      </c>
      <c r="F10" s="198">
        <v>5955.8270699999957</v>
      </c>
      <c r="G10" s="198">
        <v>138.21589</v>
      </c>
      <c r="H10" s="198">
        <v>428.96840000000009</v>
      </c>
      <c r="I10" s="198">
        <v>59.50226</v>
      </c>
      <c r="J10" s="198">
        <v>1665.2319299999999</v>
      </c>
      <c r="K10" s="198">
        <v>7.3999000000000006</v>
      </c>
      <c r="L10" s="198">
        <v>23.834869999999999</v>
      </c>
      <c r="M10" s="198">
        <v>61.970959999999998</v>
      </c>
      <c r="N10" s="198">
        <v>404.12993999999998</v>
      </c>
      <c r="O10" s="198">
        <v>1690.7929999999999</v>
      </c>
      <c r="P10" s="198">
        <v>10507.412839999997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481.00319999999999</v>
      </c>
      <c r="F11" s="198">
        <v>5988.9396999999972</v>
      </c>
      <c r="G11" s="198">
        <v>785.94479000000047</v>
      </c>
      <c r="H11" s="198">
        <v>22113.689020000005</v>
      </c>
      <c r="I11" s="198">
        <v>760.89212000000009</v>
      </c>
      <c r="J11" s="198">
        <v>4688.1250899999986</v>
      </c>
      <c r="K11" s="198">
        <v>327.16759999999999</v>
      </c>
      <c r="L11" s="198">
        <v>925.57166999999981</v>
      </c>
      <c r="M11" s="198">
        <v>682.88554999999974</v>
      </c>
      <c r="N11" s="198">
        <v>1908.1100600000004</v>
      </c>
      <c r="O11" s="198">
        <v>66804.518670000005</v>
      </c>
      <c r="P11" s="198">
        <v>105466.84747000001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10.965359999999999</v>
      </c>
      <c r="G12" s="198">
        <v>0</v>
      </c>
      <c r="H12" s="198">
        <v>73703.403870000009</v>
      </c>
      <c r="I12" s="198">
        <v>3.7000000000000002E-3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78.855249999999998</v>
      </c>
      <c r="P12" s="198">
        <v>73793.575700000001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10300</v>
      </c>
      <c r="E13" s="196">
        <v>40.102449999999997</v>
      </c>
      <c r="F13" s="196">
        <v>49129.550920000009</v>
      </c>
      <c r="G13" s="196">
        <v>7186.6039899999996</v>
      </c>
      <c r="H13" s="196">
        <v>3289.2621599999998</v>
      </c>
      <c r="I13" s="196">
        <v>256256.59705000001</v>
      </c>
      <c r="J13" s="196">
        <v>9312.2955299999976</v>
      </c>
      <c r="K13" s="196">
        <v>15444.619259999999</v>
      </c>
      <c r="L13" s="196">
        <v>6288.9105699999991</v>
      </c>
      <c r="M13" s="196">
        <v>71.459069999999997</v>
      </c>
      <c r="N13" s="196">
        <v>3938.3215</v>
      </c>
      <c r="O13" s="196">
        <v>3564.58718</v>
      </c>
      <c r="P13" s="196">
        <v>364822.30968000001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10300</v>
      </c>
      <c r="E14" s="200">
        <v>0</v>
      </c>
      <c r="F14" s="200">
        <v>12428.34518</v>
      </c>
      <c r="G14" s="200">
        <v>6841.6931299999997</v>
      </c>
      <c r="H14" s="200">
        <v>1335.19337</v>
      </c>
      <c r="I14" s="200">
        <v>253818.54459</v>
      </c>
      <c r="J14" s="200">
        <v>74.877710000000008</v>
      </c>
      <c r="K14" s="200">
        <v>9343.1671399999996</v>
      </c>
      <c r="L14" s="200">
        <v>6280.8247599999995</v>
      </c>
      <c r="M14" s="200">
        <v>0</v>
      </c>
      <c r="N14" s="200">
        <v>2917.5998399999999</v>
      </c>
      <c r="O14" s="200">
        <v>3428.8285900000001</v>
      </c>
      <c r="P14" s="200">
        <v>306769.07430999994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10300</v>
      </c>
      <c r="E16" s="198">
        <v>0</v>
      </c>
      <c r="F16" s="198">
        <v>12428.34518</v>
      </c>
      <c r="G16" s="198">
        <v>6841.6931299999997</v>
      </c>
      <c r="H16" s="198">
        <v>1335.19337</v>
      </c>
      <c r="I16" s="198">
        <v>253618.54459</v>
      </c>
      <c r="J16" s="198">
        <v>0</v>
      </c>
      <c r="K16" s="198">
        <v>9343.1671399999996</v>
      </c>
      <c r="L16" s="198">
        <v>6280.8247599999995</v>
      </c>
      <c r="M16" s="198">
        <v>0</v>
      </c>
      <c r="N16" s="198">
        <v>2917.5998399999999</v>
      </c>
      <c r="O16" s="198">
        <v>3428.8285900000001</v>
      </c>
      <c r="P16" s="198">
        <v>306494.19659999997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40.102449999999997</v>
      </c>
      <c r="F19" s="200">
        <v>36701.205740000012</v>
      </c>
      <c r="G19" s="200">
        <v>344.91085999999996</v>
      </c>
      <c r="H19" s="200">
        <v>1954.0687899999998</v>
      </c>
      <c r="I19" s="200">
        <v>2438.0524599999999</v>
      </c>
      <c r="J19" s="200">
        <v>9237.4178199999969</v>
      </c>
      <c r="K19" s="200">
        <v>6101.4521199999999</v>
      </c>
      <c r="L19" s="200">
        <v>8.0858100000000004</v>
      </c>
      <c r="M19" s="200">
        <v>71.459069999999997</v>
      </c>
      <c r="N19" s="200">
        <v>1020.72166</v>
      </c>
      <c r="O19" s="200">
        <v>135.75859000000003</v>
      </c>
      <c r="P19" s="200">
        <v>58053.235370000002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12158.969090000001</v>
      </c>
      <c r="G20" s="198">
        <v>251.7</v>
      </c>
      <c r="H20" s="198">
        <v>1580.1994099999999</v>
      </c>
      <c r="I20" s="198">
        <v>0</v>
      </c>
      <c r="J20" s="198">
        <v>98.300000000000011</v>
      </c>
      <c r="K20" s="198">
        <v>0</v>
      </c>
      <c r="L20" s="198">
        <v>0</v>
      </c>
      <c r="M20" s="198">
        <v>0</v>
      </c>
      <c r="N20" s="198">
        <v>495.8</v>
      </c>
      <c r="O20" s="198">
        <v>0</v>
      </c>
      <c r="P20" s="198">
        <v>14584.968499999999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20290.648860000005</v>
      </c>
      <c r="G22" s="198">
        <v>65</v>
      </c>
      <c r="H22" s="198">
        <v>35.49653</v>
      </c>
      <c r="I22" s="198">
        <v>2404.26665</v>
      </c>
      <c r="J22" s="198">
        <v>8874.9758199999978</v>
      </c>
      <c r="K22" s="198">
        <v>5578.7946199999997</v>
      </c>
      <c r="L22" s="198">
        <v>0</v>
      </c>
      <c r="M22" s="198">
        <v>58.25</v>
      </c>
      <c r="N22" s="198">
        <v>456.87</v>
      </c>
      <c r="O22" s="198">
        <v>0</v>
      </c>
      <c r="P22" s="198">
        <v>37788.802480000006</v>
      </c>
    </row>
    <row r="23" spans="2:16" hidden="1">
      <c r="B23" s="195"/>
      <c r="C23" s="104">
        <v>0</v>
      </c>
      <c r="D23" s="198">
        <v>0</v>
      </c>
      <c r="E23" s="198">
        <v>4.6024499999999993</v>
      </c>
      <c r="F23" s="198">
        <v>4248.2877900000003</v>
      </c>
      <c r="G23" s="198">
        <v>28.210859999999997</v>
      </c>
      <c r="H23" s="198">
        <v>319.90885000000003</v>
      </c>
      <c r="I23" s="198">
        <v>33.785809999999998</v>
      </c>
      <c r="J23" s="198">
        <v>239.077</v>
      </c>
      <c r="K23" s="198">
        <v>522.65750000000003</v>
      </c>
      <c r="L23" s="198">
        <v>8.0858100000000004</v>
      </c>
      <c r="M23" s="198">
        <v>13.209070000000001</v>
      </c>
      <c r="N23" s="198">
        <v>68.051659999999998</v>
      </c>
      <c r="O23" s="198">
        <v>135.75859000000003</v>
      </c>
      <c r="P23" s="198">
        <v>5621.6353900000013</v>
      </c>
    </row>
    <row r="24" spans="2:16" hidden="1">
      <c r="B24" s="195"/>
      <c r="C24" s="187">
        <v>0</v>
      </c>
      <c r="D24" s="198">
        <v>0</v>
      </c>
      <c r="E24" s="198">
        <v>11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57.828999999999994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16857.700920000003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112.4028</v>
      </c>
      <c r="N25" s="198">
        <v>9.5643200000000004</v>
      </c>
      <c r="O25" s="198">
        <v>0</v>
      </c>
      <c r="P25" s="198">
        <v>17952.149040000004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73.662269999999992</v>
      </c>
      <c r="G26" s="198">
        <v>2.2280000000000002</v>
      </c>
      <c r="H26" s="198">
        <v>556.00846999999999</v>
      </c>
      <c r="I26" s="198">
        <v>4.6445699999999999</v>
      </c>
      <c r="J26" s="198">
        <v>4.9377299999999993</v>
      </c>
      <c r="K26" s="198">
        <v>0</v>
      </c>
      <c r="L26" s="198">
        <v>7.7990500000000003</v>
      </c>
      <c r="M26" s="198">
        <v>19.716180000000001</v>
      </c>
      <c r="N26" s="198">
        <v>16.645119999999999</v>
      </c>
      <c r="O26" s="198">
        <v>25.982410000000002</v>
      </c>
      <c r="P26" s="198">
        <v>711.62379999999996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45</v>
      </c>
      <c r="E27" s="32">
        <v>19.904790000000002</v>
      </c>
      <c r="F27" s="32">
        <v>2015.0504599999999</v>
      </c>
      <c r="G27" s="32">
        <v>54704.616869999998</v>
      </c>
      <c r="H27" s="32">
        <v>2065.2333200000003</v>
      </c>
      <c r="I27" s="32">
        <v>585.18224999999984</v>
      </c>
      <c r="J27" s="32">
        <v>631.18197999999995</v>
      </c>
      <c r="K27" s="32">
        <v>1342.5842600000001</v>
      </c>
      <c r="L27" s="32">
        <v>1356.34464</v>
      </c>
      <c r="M27" s="32">
        <v>224.59611999999998</v>
      </c>
      <c r="N27" s="32">
        <v>5871.7020199999997</v>
      </c>
      <c r="O27" s="32">
        <v>75354.070879999999</v>
      </c>
      <c r="P27" s="32">
        <v>144215.46759000001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19.904790000000002</v>
      </c>
      <c r="F28" s="198">
        <v>1028.24188</v>
      </c>
      <c r="G28" s="198">
        <v>81.569320000000005</v>
      </c>
      <c r="H28" s="198">
        <v>1545.9400700000003</v>
      </c>
      <c r="I28" s="198">
        <v>4.4584999999999999</v>
      </c>
      <c r="J28" s="198">
        <v>631.18197999999995</v>
      </c>
      <c r="K28" s="198">
        <v>51.714500000000001</v>
      </c>
      <c r="L28" s="198">
        <v>41.922309999999996</v>
      </c>
      <c r="M28" s="198">
        <v>111.38493</v>
      </c>
      <c r="N28" s="198">
        <v>268.78503000000001</v>
      </c>
      <c r="O28" s="198">
        <v>66380.598899999997</v>
      </c>
      <c r="P28" s="198">
        <v>70165.702210000003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45</v>
      </c>
      <c r="E29" s="196">
        <v>0</v>
      </c>
      <c r="F29" s="196">
        <v>986.80857999999989</v>
      </c>
      <c r="G29" s="196">
        <v>54623.047549999996</v>
      </c>
      <c r="H29" s="196">
        <v>519.29324999999994</v>
      </c>
      <c r="I29" s="196">
        <v>580.72374999999988</v>
      </c>
      <c r="J29" s="196">
        <v>0</v>
      </c>
      <c r="K29" s="196">
        <v>1290.86976</v>
      </c>
      <c r="L29" s="196">
        <v>1314.4223300000001</v>
      </c>
      <c r="M29" s="196">
        <v>113.21119</v>
      </c>
      <c r="N29" s="196">
        <v>5602.9169899999997</v>
      </c>
      <c r="O29" s="196">
        <v>8973.4719800000021</v>
      </c>
      <c r="P29" s="196">
        <v>74049.765379999997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45</v>
      </c>
      <c r="E30" s="200">
        <v>0</v>
      </c>
      <c r="F30" s="200">
        <v>736.71230999999989</v>
      </c>
      <c r="G30" s="200">
        <v>54623.047549999996</v>
      </c>
      <c r="H30" s="200">
        <v>519.29324999999994</v>
      </c>
      <c r="I30" s="200">
        <v>580.72374999999988</v>
      </c>
      <c r="J30" s="200">
        <v>0</v>
      </c>
      <c r="K30" s="200">
        <v>50.869759999999999</v>
      </c>
      <c r="L30" s="200">
        <v>181.02176000000003</v>
      </c>
      <c r="M30" s="200">
        <v>113.21119</v>
      </c>
      <c r="N30" s="200">
        <v>5602.9169899999997</v>
      </c>
      <c r="O30" s="200">
        <v>3127.0237699999998</v>
      </c>
      <c r="P30" s="200">
        <v>65579.820330000002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113.21119</v>
      </c>
      <c r="N31" s="198">
        <v>5051.6057700000001</v>
      </c>
      <c r="O31" s="198">
        <v>0</v>
      </c>
      <c r="P31" s="198">
        <v>5164.8169600000001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45</v>
      </c>
      <c r="E32" s="198">
        <v>0</v>
      </c>
      <c r="F32" s="198">
        <v>736.71230999999989</v>
      </c>
      <c r="G32" s="198">
        <v>54623.047549999996</v>
      </c>
      <c r="H32" s="198">
        <v>19.29325</v>
      </c>
      <c r="I32" s="198">
        <v>580.72374999999988</v>
      </c>
      <c r="J32" s="198">
        <v>0</v>
      </c>
      <c r="K32" s="198">
        <v>50.869759999999999</v>
      </c>
      <c r="L32" s="198">
        <v>181.02176000000003</v>
      </c>
      <c r="M32" s="198">
        <v>0</v>
      </c>
      <c r="N32" s="198">
        <v>551.31122000000005</v>
      </c>
      <c r="O32" s="198">
        <v>3127.0237699999998</v>
      </c>
      <c r="P32" s="198">
        <v>59915.003370000006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500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500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250.09627</v>
      </c>
      <c r="G35" s="200">
        <v>0</v>
      </c>
      <c r="H35" s="200">
        <v>0</v>
      </c>
      <c r="I35" s="200">
        <v>0</v>
      </c>
      <c r="J35" s="200">
        <v>0</v>
      </c>
      <c r="K35" s="200">
        <v>1240</v>
      </c>
      <c r="L35" s="200">
        <v>1133.40057</v>
      </c>
      <c r="M35" s="200">
        <v>0</v>
      </c>
      <c r="N35" s="200">
        <v>0</v>
      </c>
      <c r="O35" s="200">
        <v>5846.4482100000014</v>
      </c>
      <c r="P35" s="200">
        <v>8469.9450500000021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10345</v>
      </c>
      <c r="E38" s="204">
        <v>1807.8175100000001</v>
      </c>
      <c r="F38" s="204">
        <v>285875.50945000007</v>
      </c>
      <c r="G38" s="204">
        <v>84185.014890000006</v>
      </c>
      <c r="H38" s="204">
        <v>121497.37087000003</v>
      </c>
      <c r="I38" s="204">
        <v>261149.92056000003</v>
      </c>
      <c r="J38" s="204">
        <v>24409.518289999996</v>
      </c>
      <c r="K38" s="204">
        <v>20800.81827</v>
      </c>
      <c r="L38" s="204">
        <v>13491.471259999997</v>
      </c>
      <c r="M38" s="204">
        <v>5114.8526900000006</v>
      </c>
      <c r="N38" s="204">
        <v>24166.252660000006</v>
      </c>
      <c r="O38" s="204">
        <v>158130.17424000002</v>
      </c>
      <c r="P38" s="204">
        <v>1010973.7206900003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6737.9480000000003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11406.200769999999</v>
      </c>
      <c r="P40" s="208">
        <v>28795.776949999999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434873.03993000003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434873.03993000003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107304.16415000001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Nota: Estrutura orgânica aprovada pelo Decreto Legislativo Regional n.º 18/2020/M, de 31 de dezembro,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Fonte: Secretaria Regional das Finanças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sqref="A1:XFD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QUADRO IX - Saldo Global do Subsetor - EPR (janeiro-setembro)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3664.9628799999482</v>
      </c>
      <c r="E5" s="82">
        <v>1491.9861400001391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(janeiro-setembro)","TABLE X - ASFs and RPEs budget execution (january-september)")</f>
        <v>QUADRO X - Execução orçamental dos Serviços e Fundos Autónomos e EPR (janeiro-setembro)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27413.100489999866</v>
      </c>
      <c r="E4" s="98">
        <v>1491.9861400001391</v>
      </c>
      <c r="F4" s="98">
        <v>28905.086630000005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374577.65920999995</v>
      </c>
      <c r="E7" s="74">
        <v>240886.86904999992</v>
      </c>
      <c r="F7" s="74">
        <v>615464.52825999982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27506.007789999865</v>
      </c>
      <c r="E8" s="74">
        <v>4560.2168400001392</v>
      </c>
      <c r="F8" s="74">
        <v>32066.224630000004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17817.347099999897</v>
      </c>
      <c r="E9" s="74">
        <v>-19000.175009999861</v>
      </c>
      <c r="F9" s="74">
        <v>-1182.8279099999927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9595.7533899999835</v>
      </c>
      <c r="E10" s="74">
        <v>20492.16115</v>
      </c>
      <c r="F10" s="74">
        <v>30087.914539999983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(janeiro-setembro)","TABLE XI - ASFs and RPEs budget execution (january-september)")</f>
        <v>QUADRO XI - Execução orçamental dos Serviços e Fundos Autónomos e EPR (janeiro-setembro)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330453.09856999986</v>
      </c>
      <c r="E4" s="108">
        <v>215252.98982000005</v>
      </c>
      <c r="F4" s="108">
        <v>545706.08838999993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2646.3167999999987</v>
      </c>
      <c r="E8" s="74">
        <v>5314.4998800000003</v>
      </c>
      <c r="F8" s="74">
        <v>7960.816679999999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324257.21000999992</v>
      </c>
      <c r="E9" s="74">
        <v>185007.85234000004</v>
      </c>
      <c r="F9" s="74">
        <v>509265.06234999996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23951.763920000001</v>
      </c>
      <c r="E10" s="74">
        <v>2099.2745100000002</v>
      </c>
      <c r="F10" s="74">
        <v>26051.038430000001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299710.12913999992</v>
      </c>
      <c r="E11" s="74">
        <v>182103.76682000005</v>
      </c>
      <c r="F11" s="74">
        <v>481813.89595999999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2549.6369300000001</v>
      </c>
      <c r="E12" s="74">
        <v>11093.86464</v>
      </c>
      <c r="F12" s="74">
        <v>13643.50157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999.93483000000026</v>
      </c>
      <c r="E13" s="74">
        <v>13836.772959999998</v>
      </c>
      <c r="F13" s="74">
        <v>14836.707789999999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71630.568429999985</v>
      </c>
      <c r="E14" s="83">
        <v>30194.096070000007</v>
      </c>
      <c r="F14" s="83">
        <v>101824.66449999998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319.24982</v>
      </c>
      <c r="F15" s="34">
        <v>319.24982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71480.589469999992</v>
      </c>
      <c r="E16" s="34">
        <v>29766.622500000009</v>
      </c>
      <c r="F16" s="74">
        <v>101247.21197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17968.272009999997</v>
      </c>
      <c r="E17" s="34">
        <v>23283.289810000002</v>
      </c>
      <c r="F17" s="74">
        <v>41251.561820000003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53512.317459999991</v>
      </c>
      <c r="E18" s="74">
        <v>6483.3326900000066</v>
      </c>
      <c r="F18" s="74">
        <v>59995.650150000001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41.001510000000003</v>
      </c>
      <c r="F19" s="74">
        <v>41.001510000000003</v>
      </c>
    </row>
    <row r="20" spans="2:6" ht="11.25" customHeight="1">
      <c r="C20" s="110" t="str">
        <f>+IF(Índice!$D$2=1,"Receita efetiva","Effective revenue")</f>
        <v>Receita efetiva</v>
      </c>
      <c r="D20" s="83">
        <v>402083.66699999984</v>
      </c>
      <c r="E20" s="83">
        <v>245447.08589000005</v>
      </c>
      <c r="F20" s="83">
        <v>647530.75288999989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312635.75146999996</v>
      </c>
      <c r="E22" s="83">
        <v>234253.16482999991</v>
      </c>
      <c r="F22" s="83">
        <v>546888.91629999992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35027.184779999989</v>
      </c>
      <c r="E23" s="74">
        <v>164224.28809999992</v>
      </c>
      <c r="F23" s="74">
        <v>199251.4728799999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68465.174890000009</v>
      </c>
      <c r="E24" s="74">
        <v>55493.84176999997</v>
      </c>
      <c r="F24" s="74">
        <v>123959.01665999998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92.907300000000006</v>
      </c>
      <c r="E25" s="74">
        <v>3068.2307000000001</v>
      </c>
      <c r="F25" s="74">
        <v>3161.1379999999999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203037.53765999994</v>
      </c>
      <c r="E26" s="74">
        <v>9346.086600000006</v>
      </c>
      <c r="F26" s="74">
        <v>212383.62425999995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1461.7689500000001</v>
      </c>
      <c r="E27" s="74">
        <v>0</v>
      </c>
      <c r="F27" s="59">
        <v>1461.7689500000001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201575.76870999995</v>
      </c>
      <c r="E28" s="74">
        <v>9346.086600000006</v>
      </c>
      <c r="F28" s="59">
        <v>210921.85530999996</v>
      </c>
    </row>
    <row r="29" spans="2:6" ht="11.25" customHeight="1">
      <c r="C29" s="104" t="str">
        <f>+IF(Índice!$D$2=1,"Subsídios","Subsidies")</f>
        <v>Subsídios</v>
      </c>
      <c r="D29" s="74">
        <v>5936.2875200000017</v>
      </c>
      <c r="E29" s="74">
        <v>7.2296400000000007</v>
      </c>
      <c r="F29" s="74">
        <v>5943.5171600000012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76.659319999999994</v>
      </c>
      <c r="E30" s="74">
        <v>2113.4880199999998</v>
      </c>
      <c r="F30" s="74">
        <v>2190.14734</v>
      </c>
    </row>
    <row r="31" spans="2:6" ht="11.25" customHeight="1">
      <c r="C31" s="110" t="str">
        <f>+IF(Índice!$D$2=1,"Despesa de capital","Capital expenditure")</f>
        <v>Despesa de capital</v>
      </c>
      <c r="D31" s="83">
        <v>62034.815040000001</v>
      </c>
      <c r="E31" s="83">
        <v>9701.9349200000051</v>
      </c>
      <c r="F31" s="83">
        <v>71736.749960000001</v>
      </c>
    </row>
    <row r="32" spans="2:6" ht="11.25" customHeight="1">
      <c r="C32" s="104" t="str">
        <f>+IF(Índice!$D$2=1,"Investimento","Investment")</f>
        <v>Investimento</v>
      </c>
      <c r="D32" s="74">
        <v>1969.0960799999998</v>
      </c>
      <c r="E32" s="74">
        <v>9428.0401200000051</v>
      </c>
      <c r="F32" s="74">
        <v>11397.136200000004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60065.718959999998</v>
      </c>
      <c r="E33" s="74">
        <v>273.89479999999998</v>
      </c>
      <c r="F33" s="74">
        <v>60339.61376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374670.56650999998</v>
      </c>
      <c r="E36" s="83">
        <v>243955.09974999991</v>
      </c>
      <c r="F36" s="83">
        <v>618625.66625999985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2440.37743</v>
      </c>
      <c r="E38" s="35">
        <v>369.72280000000006</v>
      </c>
      <c r="F38" s="35">
        <v>2810.10023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20033.022630000003</v>
      </c>
      <c r="F39" s="35">
        <v>20033.022630000003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27413.100489999866</v>
      </c>
      <c r="E44" s="114">
        <v>1491.9861400001391</v>
      </c>
      <c r="F44" s="114">
        <v>28905.086630000005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(setembro)","TABLE XII - ASFs and RPEs budget execution (september)")</f>
        <v>QUADRO XII - Execução orçamental dos Serviços e Fundos Autónomos e EPR (setembro)</v>
      </c>
      <c r="D2" s="305"/>
      <c r="E2" s="305"/>
      <c r="F2" s="306" t="str">
        <f>+IF(Índice!$D$2=1,"€ Milhares","€ Thousands")</f>
        <v>€ Milhares</v>
      </c>
      <c r="H2" s="287" t="str">
        <f>+IF(Índice!$D$2=1,"índice","Index")</f>
        <v>índice</v>
      </c>
    </row>
    <row r="3" spans="2:8" ht="12.75">
      <c r="B3" s="16"/>
      <c r="C3" s="307"/>
      <c r="D3" s="308" t="str">
        <f>+IF(Índice!$D$2=1,"setembro 2022","september 2022")</f>
        <v>setembro 2022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37720.093560000081</v>
      </c>
      <c r="E5" s="316">
        <v>29321.333569999981</v>
      </c>
      <c r="F5" s="316">
        <v>67041.427130000055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37720.093560000081</v>
      </c>
      <c r="E9" s="74">
        <v>29321.333569999981</v>
      </c>
      <c r="F9" s="74">
        <v>67041.427130000055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36994.011790000084</v>
      </c>
      <c r="E10" s="74">
        <v>22792.700359999984</v>
      </c>
      <c r="F10" s="74">
        <v>59786.712150000065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6126.2439100000147</v>
      </c>
      <c r="E11" s="83">
        <v>593.03117000000248</v>
      </c>
      <c r="F11" s="83">
        <v>6719.2750800000176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57.049429999999994</v>
      </c>
      <c r="F12" s="34">
        <v>57.049429999999994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6125.1735400000143</v>
      </c>
      <c r="E13" s="34">
        <v>524.3680600000024</v>
      </c>
      <c r="F13" s="74">
        <v>6649.5416000000168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43846.337470000093</v>
      </c>
      <c r="E15" s="83">
        <v>29914.364739999983</v>
      </c>
      <c r="F15" s="83">
        <v>73760.702210000076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32423.249149999971</v>
      </c>
      <c r="E17" s="83">
        <v>23901.681209999693</v>
      </c>
      <c r="F17" s="83">
        <v>56324.930359999664</v>
      </c>
    </row>
    <row r="18" spans="3:6" ht="11.25" customHeight="1">
      <c r="C18" s="104" t="str">
        <f>+IF(Índice!$D$2=1,"Consumo público","Public consumption")</f>
        <v>Consumo público</v>
      </c>
      <c r="D18" s="74">
        <v>10863.290670000029</v>
      </c>
      <c r="E18" s="74">
        <v>22835.847189999691</v>
      </c>
      <c r="F18" s="74">
        <v>33699.137859999719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4244.3059199999834</v>
      </c>
      <c r="E19" s="74">
        <v>17586.533349999725</v>
      </c>
      <c r="F19" s="74">
        <v>21830.839269999709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6618.9847500000469</v>
      </c>
      <c r="E20" s="74">
        <v>5249.3138399999671</v>
      </c>
      <c r="F20" s="74">
        <v>11868.298590000013</v>
      </c>
    </row>
    <row r="21" spans="3:6" ht="11.25" customHeight="1">
      <c r="C21" s="104" t="str">
        <f>+IF(Índice!$D$2=1,"Subsídios","Subsidies")</f>
        <v>Subsídios</v>
      </c>
      <c r="D21" s="74">
        <v>345.18594000000132</v>
      </c>
      <c r="E21" s="74">
        <v>7.2296400000000007</v>
      </c>
      <c r="F21" s="74">
        <v>352.41558000000134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29.55697</v>
      </c>
      <c r="E22" s="74">
        <v>44.938759999999775</v>
      </c>
      <c r="F22" s="59">
        <v>74.495729999999782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21185.215569999935</v>
      </c>
      <c r="E23" s="74">
        <v>1013.6656199999992</v>
      </c>
      <c r="F23" s="59">
        <v>22198.881189999935</v>
      </c>
    </row>
    <row r="24" spans="3:6" ht="11.25" customHeight="1">
      <c r="C24" s="110" t="str">
        <f>+IF(Índice!$D$2=1,"Despesa de capital","Capital expenditure")</f>
        <v>Despesa de capital</v>
      </c>
      <c r="D24" s="83">
        <v>11386.570510000007</v>
      </c>
      <c r="E24" s="83">
        <v>1837.6228900000037</v>
      </c>
      <c r="F24" s="83">
        <v>13224.193400000011</v>
      </c>
    </row>
    <row r="25" spans="3:6" ht="11.25" customHeight="1">
      <c r="C25" s="104" t="str">
        <f>+IF(Índice!$D$2=1,"Investimento","Investment")</f>
        <v>Investimento</v>
      </c>
      <c r="D25" s="74">
        <v>422.2331800000004</v>
      </c>
      <c r="E25" s="74">
        <v>1837.5682900000038</v>
      </c>
      <c r="F25" s="74">
        <v>2259.801470000004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10964.337330000006</v>
      </c>
      <c r="E26" s="74">
        <v>5.4599999999976716E-2</v>
      </c>
      <c r="F26" s="74">
        <v>10964.391930000005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43809.819659999979</v>
      </c>
      <c r="E29" s="83">
        <v>25739.304099999696</v>
      </c>
      <c r="F29" s="83">
        <v>69549.123759999668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27413.100489999866</v>
      </c>
      <c r="E31" s="318">
        <v>1491.9861400001391</v>
      </c>
      <c r="F31" s="318">
        <v>28905.086630000005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sqref="A1:XFD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2022 (valores acumulados)","Table XIII- Accounts payable of the Regional Administration, september (accumulated)")</f>
        <v>QUADRO XIII - Contas a pagar, da Administração Regional, no final de setembro de 2022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2" t="s">
        <v>27</v>
      </c>
      <c r="D3" s="355" t="str">
        <f>+IF(Índice!$D$2=1,"setembro 2022","september 2022")</f>
        <v>setembro 2022</v>
      </c>
      <c r="E3" s="355" t="str">
        <f>+IF(Índice!$D$2="PT","janeiro 2020","January")</f>
        <v>January</v>
      </c>
      <c r="F3" s="355" t="str">
        <f>+IF(Índice!$D$2="PT","janeiro 2020","January")</f>
        <v>January</v>
      </c>
      <c r="G3" s="346" t="str">
        <f>+IF(Índice!$D$2=1,"Variação face ao stock inicial de janeiro","Change from period initial stock")</f>
        <v>Variação face ao stock inicial de janeiro</v>
      </c>
      <c r="H3" s="347"/>
      <c r="I3" s="347"/>
    </row>
    <row r="4" spans="2:11" ht="12.75" customHeight="1">
      <c r="C4" s="342"/>
      <c r="D4" s="354" t="str">
        <f>+IF(Índice!$D$2=1,"Stock final do período","Accumulated")</f>
        <v>Stock final do período</v>
      </c>
      <c r="E4" s="354"/>
      <c r="F4" s="354"/>
      <c r="G4" s="351" t="str">
        <f>+IF(Índice!$D$2=1,"Passivo","Liabilities")</f>
        <v>Passivo</v>
      </c>
      <c r="H4" s="351" t="str">
        <f>+IF(Índice!$D$2=1,"Contas a pagar","Accounts payable")</f>
        <v>Contas a pagar</v>
      </c>
      <c r="I4" s="340" t="str">
        <f>+IF(Índice!$D$2=1,"Pagamentos em atraso","Late payments")</f>
        <v>Pagamentos em atraso</v>
      </c>
    </row>
    <row r="5" spans="2:11" ht="22.5">
      <c r="B5" s="29"/>
      <c r="C5" s="342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2"/>
      <c r="H5" s="352"/>
      <c r="I5" s="341"/>
    </row>
    <row r="6" spans="2:11">
      <c r="B6" s="29"/>
      <c r="C6" s="119" t="str">
        <f>+IF(Índice!$D$2=1,"Despesa corrente","Current expenditure")</f>
        <v>Despesa corrente</v>
      </c>
      <c r="D6" s="162">
        <v>94681867.709999919</v>
      </c>
      <c r="E6" s="162">
        <v>80945454.139999941</v>
      </c>
      <c r="F6" s="162">
        <v>10325303.949999999</v>
      </c>
      <c r="G6" s="91">
        <v>0.61894453407057726</v>
      </c>
      <c r="H6" s="91">
        <v>0.74714747985920238</v>
      </c>
      <c r="I6" s="116">
        <v>-5.8071629326196028E-2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4891479.2400000012</v>
      </c>
      <c r="E7" s="165">
        <v>4195625.01</v>
      </c>
      <c r="F7" s="165">
        <v>8833.31</v>
      </c>
      <c r="G7" s="95">
        <v>5.6453649629141154</v>
      </c>
      <c r="H7" s="95">
        <v>23.848716424805332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67648885.719999924</v>
      </c>
      <c r="E8" s="165">
        <v>66736796.219999939</v>
      </c>
      <c r="F8" s="165">
        <v>9846028.1400000006</v>
      </c>
      <c r="G8" s="95">
        <v>0.7068457594999904</v>
      </c>
      <c r="H8" s="95">
        <v>0.80348429283951361</v>
      </c>
      <c r="I8" s="121">
        <v>-6.1391459866482978E-2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12274821.520000001</v>
      </c>
      <c r="E9" s="165">
        <v>5938029.4400000004</v>
      </c>
      <c r="F9" s="165">
        <v>322075.35000000009</v>
      </c>
      <c r="G9" s="95">
        <v>8.4785403411681726E-2</v>
      </c>
      <c r="H9" s="95">
        <v>0.27533477994841049</v>
      </c>
      <c r="I9" s="121">
        <v>3.9211166013153331E-4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8948919.6999999993</v>
      </c>
      <c r="E10" s="165">
        <v>3171197.84</v>
      </c>
      <c r="F10" s="165">
        <v>148357.15</v>
      </c>
      <c r="G10" s="95">
        <v>0.36466835698678857</v>
      </c>
      <c r="H10" s="95">
        <v>-0.26214784060992047</v>
      </c>
      <c r="I10" s="121">
        <v>-4.4408920985006262E-16</v>
      </c>
    </row>
    <row r="11" spans="2:11">
      <c r="B11" s="29"/>
      <c r="C11" s="120" t="str">
        <f>+IF(Índice!$D$2=1,"Subsídios","Subsidies")</f>
        <v>Subsídios</v>
      </c>
      <c r="D11" s="165">
        <v>873485.91</v>
      </c>
      <c r="E11" s="165">
        <v>873485.91</v>
      </c>
      <c r="F11" s="165">
        <v>0</v>
      </c>
      <c r="G11" s="95">
        <v>4.3623671779772906</v>
      </c>
      <c r="H11" s="95">
        <v>4.3623671779772906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44275.62</v>
      </c>
      <c r="E12" s="165">
        <v>30319.720000000005</v>
      </c>
      <c r="F12" s="165">
        <v>10</v>
      </c>
      <c r="G12" s="95">
        <v>-0.43133762929101283</v>
      </c>
      <c r="H12" s="95">
        <v>-0.2424772322580756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41296676.839999996</v>
      </c>
      <c r="E13" s="163">
        <v>24875621.389999997</v>
      </c>
      <c r="F13" s="163">
        <v>202888.03999999998</v>
      </c>
      <c r="G13" s="92">
        <v>-2.102477856690077E-2</v>
      </c>
      <c r="H13" s="92">
        <v>9.4666848568248918E-2</v>
      </c>
      <c r="I13" s="117">
        <v>0.63719784293529624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18633893.449999999</v>
      </c>
      <c r="E14" s="165">
        <v>8690092.9699999988</v>
      </c>
      <c r="F14" s="165">
        <v>202888.03999999998</v>
      </c>
      <c r="G14" s="95">
        <v>-4.5223863599079706E-2</v>
      </c>
      <c r="H14" s="95">
        <v>0.35449626099749509</v>
      </c>
      <c r="I14" s="121">
        <v>0.63719784293529624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22662783.390000001</v>
      </c>
      <c r="E15" s="165">
        <v>16185528.42</v>
      </c>
      <c r="F15" s="165">
        <v>0</v>
      </c>
      <c r="G15" s="95">
        <v>-1.891995579267336E-4</v>
      </c>
      <c r="H15" s="95">
        <v>-7.5487601619163014E-3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135978544.54999992</v>
      </c>
      <c r="E17" s="164">
        <v>105821075.52999994</v>
      </c>
      <c r="F17" s="164">
        <v>10528191.989999998</v>
      </c>
      <c r="G17" s="147">
        <v>0.35077204097549775</v>
      </c>
      <c r="H17" s="147">
        <v>0.53242970963278236</v>
      </c>
      <c r="I17" s="148">
        <v>-5.0299476618021366E-2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100151847.22</v>
      </c>
      <c r="E19" s="164">
        <v>70007005.220000029</v>
      </c>
      <c r="F19" s="164">
        <v>2418909.8299999987</v>
      </c>
      <c r="G19" s="147">
        <v>0.47317009552942513</v>
      </c>
      <c r="H19" s="147">
        <v>0.72342679140559585</v>
      </c>
      <c r="I19" s="148">
        <v>5.0032789506158082E-3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2022 (valores acumulados)","Table XIV - Accounts payable of the Regional Gov., september (accumulated)")</f>
        <v>QUADRO XIV - Contas a pagar, do Governo Regional, no final de setembro de 2022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2" t="str">
        <f>+IF(Índice!$D$2=1,"Governo Regional","Regional Government")</f>
        <v>Governo Regional</v>
      </c>
      <c r="D24" s="339" t="str">
        <f>+IF(Índice!$D$2=1,"setembro 2022","september 2022")</f>
        <v>setembro 2022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6" t="str">
        <f>+IF(Índice!$D$2=1,"Variação face ao stock inicial de janeiro","Change from period initial stock")</f>
        <v>Variação face ao stock inicial de janeiro</v>
      </c>
      <c r="H24" s="347"/>
      <c r="I24" s="347"/>
    </row>
    <row r="25" spans="2:9" ht="22.5" customHeight="1">
      <c r="B25" s="29"/>
      <c r="C25" s="342"/>
      <c r="D25" s="354" t="str">
        <f>+IF(Índice!$D$2=1,"Stock final do período","Accumulated")</f>
        <v>Stock final do período</v>
      </c>
      <c r="E25" s="354"/>
      <c r="F25" s="354"/>
      <c r="G25" s="351" t="str">
        <f>+IF(Índice!$D$2=1,"Passivo","Liabilities")</f>
        <v>Passivo</v>
      </c>
      <c r="H25" s="351" t="str">
        <f>+IF(Índice!$D$2=1,"Contas a pagar","Accounts payable")</f>
        <v>Contas a pagar</v>
      </c>
      <c r="I25" s="340" t="str">
        <f>+IF(Índice!$D$2=1,"Pagamentos em atraso","Late payments")</f>
        <v>Pagamentos em atraso</v>
      </c>
    </row>
    <row r="26" spans="2:9" ht="22.5">
      <c r="B26" s="29"/>
      <c r="C26" s="342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2"/>
      <c r="H26" s="352"/>
      <c r="I26" s="341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29260874.219999995</v>
      </c>
      <c r="E27" s="162">
        <v>20449584.359999996</v>
      </c>
      <c r="F27" s="162">
        <v>1327924.32</v>
      </c>
      <c r="G27" s="91">
        <v>0.98003746755046661</v>
      </c>
      <c r="H27" s="91">
        <v>1.1811316079431706</v>
      </c>
      <c r="I27" s="116">
        <v>9.1514506440313337E-3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29838146.829999998</v>
      </c>
      <c r="E28" s="163">
        <v>22134226.379999999</v>
      </c>
      <c r="F28" s="163">
        <v>630</v>
      </c>
      <c r="G28" s="92">
        <v>3.3994918720254841E-3</v>
      </c>
      <c r="H28" s="172">
        <v>4.5360055680897293E-2</v>
      </c>
      <c r="I28" s="117">
        <v>0</v>
      </c>
    </row>
    <row r="29" spans="2:9" ht="20.100000000000001" customHeight="1">
      <c r="B29" s="29"/>
      <c r="C29" s="146" t="s">
        <v>27</v>
      </c>
      <c r="D29" s="164">
        <v>59099021.049999997</v>
      </c>
      <c r="E29" s="164">
        <v>42583810.739999995</v>
      </c>
      <c r="F29" s="164">
        <v>1328554.32</v>
      </c>
      <c r="G29" s="147">
        <v>0.32762050720552671</v>
      </c>
      <c r="H29" s="147">
        <v>0.39393011305290582</v>
      </c>
      <c r="I29" s="148">
        <v>9.1470713345289667E-3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QUADRO XV - Contas a pagar, dos Serviços e Fundos Autónomos, no final de agosto de 2022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3" t="str">
        <f>+IF(Índice!$D$2=1,"Serviços e Fundos Autónomos","Autonomous Services and Funds")</f>
        <v>Serviços e Fundos Autónomos</v>
      </c>
      <c r="D33" s="339" t="str">
        <f>+IF(Índice!$D$2=1,"agosto 2022","august 2022")</f>
        <v>agosto 2022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6" t="str">
        <f>+IF(Índice!$D$2=1,"Variação face ao stock inicial de janeiro","Change from period initial stock")</f>
        <v>Variação face ao stock inicial de janeiro</v>
      </c>
      <c r="H33" s="347"/>
      <c r="I33" s="347"/>
    </row>
    <row r="34" spans="2:9" ht="12.75" customHeight="1">
      <c r="C34" s="344"/>
      <c r="D34" s="348" t="str">
        <f>+IF(Índice!$D$2=1,"Stock final do período","Accumulated")</f>
        <v>Stock final do período</v>
      </c>
      <c r="E34" s="349"/>
      <c r="F34" s="350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0" t="str">
        <f>+IF(Índice!$D$2=1,"Pagamentos em atraso","Late payments")</f>
        <v>Pagamentos em atraso</v>
      </c>
    </row>
    <row r="35" spans="2:9" ht="22.5">
      <c r="C35" s="345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2"/>
      <c r="H35" s="352"/>
      <c r="I35" s="341"/>
    </row>
    <row r="36" spans="2:9" ht="20.100000000000001" customHeight="1">
      <c r="C36" s="115" t="str">
        <f>+IF(Índice!$D$2=1,"Despesa corrente","Current expenditure")</f>
        <v>Despesa corrente</v>
      </c>
      <c r="D36" s="162">
        <v>22964689.399999999</v>
      </c>
      <c r="E36" s="162">
        <v>22318984.700000003</v>
      </c>
      <c r="F36" s="162">
        <v>1090355.51</v>
      </c>
      <c r="G36" s="91">
        <v>2.3925278631904616</v>
      </c>
      <c r="H36" s="91">
        <v>2.7190195783861646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146474.29</v>
      </c>
      <c r="E37" s="163">
        <v>146474.29</v>
      </c>
      <c r="F37" s="163">
        <v>0</v>
      </c>
      <c r="G37" s="92">
        <v>3.5437926326764417</v>
      </c>
      <c r="H37" s="92">
        <v>3.5437926326764417</v>
      </c>
      <c r="I37" s="117">
        <v>0</v>
      </c>
    </row>
    <row r="38" spans="2:9" ht="20.100000000000001" customHeight="1">
      <c r="C38" s="146" t="s">
        <v>27</v>
      </c>
      <c r="D38" s="164">
        <v>23111163.689999998</v>
      </c>
      <c r="E38" s="164">
        <v>22465458.990000002</v>
      </c>
      <c r="F38" s="164">
        <v>1090355.51</v>
      </c>
      <c r="G38" s="147">
        <v>2.3979844074391199</v>
      </c>
      <c r="H38" s="147">
        <v>2.7234261904146582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QUADRO XVI - Contas a pagar, das Entidades Públicas Reclassseicadas, no final de agosto de 2022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3" t="str">
        <f>+IF(Índice!$D$2=1,"Entidades Públicas Reclassseicadas","Reclassseied Public Entities")</f>
        <v>Entidades Públicas Reclassseicadas</v>
      </c>
      <c r="D42" s="339" t="str">
        <f>+IF(Índice!$D$2=1,"agosto 2022","august 2022")</f>
        <v>agosto 2022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6" t="str">
        <f>+IF(Índice!$D$2=1,"Variação face ao stock inicial de janeiro","Change from period initial stock")</f>
        <v>Variação face ao stock inicial de janeiro</v>
      </c>
      <c r="H42" s="347"/>
      <c r="I42" s="347"/>
    </row>
    <row r="43" spans="2:9" ht="12.75" customHeight="1">
      <c r="C43" s="344"/>
      <c r="D43" s="348" t="str">
        <f>+IF(Índice!$D$2=1,"Stock final do período","Accumulated")</f>
        <v>Stock final do período</v>
      </c>
      <c r="E43" s="349"/>
      <c r="F43" s="350"/>
      <c r="G43" s="351" t="str">
        <f>+IF(Índice!$D$2=1,"Passivo","Liabilities")</f>
        <v>Passivo</v>
      </c>
      <c r="H43" s="351" t="str">
        <f>+IF(Índice!$D$2=1,"Contas a pagar","Accounts payable")</f>
        <v>Contas a pagar</v>
      </c>
      <c r="I43" s="340" t="str">
        <f>+IF(Índice!$D$2=1,"Pagamentos em atraso","Late payments")</f>
        <v>Pagamentos em atraso</v>
      </c>
    </row>
    <row r="44" spans="2:9" ht="22.5">
      <c r="C44" s="345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2"/>
      <c r="H44" s="352"/>
      <c r="I44" s="341"/>
    </row>
    <row r="45" spans="2:9" ht="20.100000000000001" customHeight="1">
      <c r="C45" s="115" t="str">
        <f>+IF(Índice!$D$2=1,"Despesa corrente","Current expenditure")</f>
        <v>Despesa corrente</v>
      </c>
      <c r="D45" s="162">
        <v>42456304.089999929</v>
      </c>
      <c r="E45" s="162">
        <v>38176885.079999939</v>
      </c>
      <c r="F45" s="162">
        <v>7907024.1199999992</v>
      </c>
      <c r="G45" s="91">
        <v>0.14943837062302578</v>
      </c>
      <c r="H45" s="91">
        <v>0.23337926000906539</v>
      </c>
      <c r="I45" s="116">
        <v>-7.5811548214811508E-2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11312055.719999999</v>
      </c>
      <c r="E46" s="163">
        <v>2594920.7199999997</v>
      </c>
      <c r="F46" s="163">
        <v>202258.03999999998</v>
      </c>
      <c r="G46" s="92">
        <v>-8.8787183350283017E-2</v>
      </c>
      <c r="H46" s="92">
        <v>0.70903117996421594</v>
      </c>
      <c r="I46" s="117">
        <v>0.64045375783209457</v>
      </c>
    </row>
    <row r="47" spans="2:9" ht="20.100000000000001" customHeight="1">
      <c r="C47" s="146" t="s">
        <v>27</v>
      </c>
      <c r="D47" s="164">
        <v>53768359.809999928</v>
      </c>
      <c r="E47" s="164">
        <v>40771805.799999937</v>
      </c>
      <c r="F47" s="164">
        <v>8109282.1599999992</v>
      </c>
      <c r="G47" s="147">
        <v>8.9512351180156546E-2</v>
      </c>
      <c r="H47" s="147">
        <v>0.25562064682137042</v>
      </c>
      <c r="I47" s="148">
        <v>-6.5636199304711096E-2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38" zoomScale="85" zoomScaleNormal="85" workbookViewId="0">
      <selection sqref="A1:XFD2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102</v>
      </c>
      <c r="D2" s="174"/>
      <c r="E2" s="178" t="str">
        <f>+IF(Índice!$D$2=1,"índice","Index")</f>
        <v>índice</v>
      </c>
    </row>
    <row r="3" spans="2:5">
      <c r="C3" s="322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34</v>
      </c>
      <c r="D11" s="170"/>
      <c r="E11" s="169"/>
    </row>
    <row r="12" spans="2:5">
      <c r="B12" s="29"/>
      <c r="C12" s="170" t="s">
        <v>57</v>
      </c>
      <c r="D12" s="170"/>
      <c r="E12" s="169"/>
    </row>
    <row r="13" spans="2:5">
      <c r="B13" s="29"/>
      <c r="C13" s="170" t="s">
        <v>50</v>
      </c>
      <c r="D13" s="170"/>
      <c r="E13" s="169"/>
    </row>
    <row r="14" spans="2:5">
      <c r="B14" s="29"/>
      <c r="C14" s="170" t="s">
        <v>78</v>
      </c>
      <c r="D14" s="170"/>
      <c r="E14" s="169"/>
    </row>
    <row r="15" spans="2:5">
      <c r="B15" s="29"/>
      <c r="C15" s="170" t="s">
        <v>11</v>
      </c>
      <c r="D15" s="170"/>
      <c r="E15" s="169"/>
    </row>
    <row r="16" spans="2:5">
      <c r="B16" s="29"/>
      <c r="C16" s="170" t="s">
        <v>51</v>
      </c>
      <c r="D16" s="170"/>
      <c r="E16" s="169"/>
    </row>
    <row r="17" spans="2:5">
      <c r="B17" s="29"/>
      <c r="C17" s="170" t="s">
        <v>44</v>
      </c>
      <c r="D17" s="171"/>
      <c r="E17" s="169"/>
    </row>
    <row r="18" spans="2:5">
      <c r="B18" s="29"/>
      <c r="C18" s="170" t="s">
        <v>68</v>
      </c>
      <c r="D18" s="170"/>
      <c r="E18" s="169"/>
    </row>
    <row r="19" spans="2:5">
      <c r="B19" s="29"/>
      <c r="C19" s="170" t="s">
        <v>60</v>
      </c>
      <c r="D19" s="170"/>
      <c r="E19" s="169"/>
    </row>
    <row r="20" spans="2:5">
      <c r="B20" s="29"/>
      <c r="C20" s="170" t="s">
        <v>8</v>
      </c>
      <c r="D20" s="170"/>
      <c r="E20" s="169"/>
    </row>
    <row r="21" spans="2:5">
      <c r="B21" s="29"/>
      <c r="C21" s="170" t="s">
        <v>58</v>
      </c>
      <c r="D21" s="170"/>
      <c r="E21" s="169"/>
    </row>
    <row r="22" spans="2:5">
      <c r="B22" s="29"/>
      <c r="C22" s="170" t="s">
        <v>59</v>
      </c>
      <c r="D22" s="170"/>
      <c r="E22" s="169"/>
    </row>
    <row r="23" spans="2:5">
      <c r="B23" s="29"/>
      <c r="C23" s="170" t="s">
        <v>35</v>
      </c>
      <c r="D23" s="170"/>
      <c r="E23" s="169"/>
    </row>
    <row r="24" spans="2:5">
      <c r="B24" s="29"/>
      <c r="C24" s="170" t="s">
        <v>52</v>
      </c>
      <c r="D24" s="170"/>
      <c r="E24" s="169"/>
    </row>
    <row r="25" spans="2:5">
      <c r="B25" s="29"/>
      <c r="C25" s="170" t="s">
        <v>53</v>
      </c>
      <c r="D25" s="170"/>
      <c r="E25" s="169"/>
    </row>
    <row r="26" spans="2:5">
      <c r="B26" s="29"/>
      <c r="C26" s="170" t="s">
        <v>36</v>
      </c>
      <c r="D26" s="170"/>
      <c r="E26" s="169"/>
    </row>
    <row r="27" spans="2:5">
      <c r="B27" s="29"/>
      <c r="C27" s="170" t="s">
        <v>54</v>
      </c>
      <c r="D27" s="170"/>
      <c r="E27" s="169"/>
    </row>
    <row r="28" spans="2:5">
      <c r="B28" s="29"/>
      <c r="C28" s="170" t="s">
        <v>66</v>
      </c>
      <c r="D28" s="170"/>
      <c r="E28" s="169"/>
    </row>
    <row r="29" spans="2:5">
      <c r="C29" s="170" t="s">
        <v>64</v>
      </c>
      <c r="D29" s="170"/>
      <c r="E29" s="169"/>
    </row>
    <row r="30" spans="2:5">
      <c r="C30" s="170" t="s">
        <v>45</v>
      </c>
      <c r="D30" s="170"/>
      <c r="E30" s="169"/>
    </row>
    <row r="31" spans="2:5">
      <c r="C31" s="170" t="s">
        <v>46</v>
      </c>
      <c r="D31" s="170"/>
      <c r="E31" s="169"/>
    </row>
    <row r="32" spans="2:5">
      <c r="C32" s="170" t="s">
        <v>37</v>
      </c>
      <c r="D32" s="170"/>
      <c r="E32" s="169"/>
    </row>
    <row r="33" spans="3:5">
      <c r="C33" s="170" t="s">
        <v>47</v>
      </c>
      <c r="D33" s="170"/>
      <c r="E33" s="169"/>
    </row>
    <row r="34" spans="3:5">
      <c r="C34" s="170" t="s">
        <v>61</v>
      </c>
      <c r="D34" s="170"/>
      <c r="E34" s="169"/>
    </row>
    <row r="35" spans="3:5">
      <c r="C35" s="170" t="s">
        <v>65</v>
      </c>
      <c r="D35" s="170"/>
      <c r="E35" s="169"/>
    </row>
    <row r="36" spans="3:5">
      <c r="C36" s="170" t="s">
        <v>80</v>
      </c>
      <c r="D36" s="170"/>
      <c r="E36" s="169"/>
    </row>
    <row r="37" spans="3:5">
      <c r="C37" s="170" t="s">
        <v>67</v>
      </c>
      <c r="D37" s="170"/>
      <c r="E37" s="169"/>
    </row>
    <row r="38" spans="3:5">
      <c r="C38" s="170" t="s">
        <v>97</v>
      </c>
      <c r="D38" s="170"/>
      <c r="E38" s="169"/>
    </row>
    <row r="39" spans="3:5">
      <c r="C39" s="171" t="s">
        <v>33</v>
      </c>
      <c r="D39" s="170"/>
      <c r="E39" s="169"/>
    </row>
    <row r="40" spans="3:5">
      <c r="C40" s="170" t="s">
        <v>56</v>
      </c>
      <c r="D40" s="170"/>
      <c r="E40" s="169"/>
    </row>
    <row r="41" spans="3:5">
      <c r="C41" s="170" t="s">
        <v>9</v>
      </c>
      <c r="D41" s="170"/>
      <c r="E41" s="169"/>
    </row>
    <row r="42" spans="3:5">
      <c r="C42" s="170" t="s">
        <v>62</v>
      </c>
      <c r="D42" s="170"/>
      <c r="E42" s="169"/>
    </row>
    <row r="43" spans="3:5">
      <c r="C43" s="171" t="s">
        <v>91</v>
      </c>
      <c r="D43" s="171"/>
      <c r="E43" s="169"/>
    </row>
    <row r="44" spans="3:5">
      <c r="C44" s="170" t="s">
        <v>32</v>
      </c>
      <c r="D44" s="170"/>
      <c r="E44" s="169"/>
    </row>
    <row r="45" spans="3:5">
      <c r="C45" s="170" t="s">
        <v>40</v>
      </c>
      <c r="D45" s="171"/>
      <c r="E45" s="169"/>
    </row>
    <row r="46" spans="3:5">
      <c r="C46" s="170" t="s">
        <v>5</v>
      </c>
      <c r="D46" s="170"/>
      <c r="E46" s="169"/>
    </row>
    <row r="47" spans="3:5">
      <c r="C47" s="170" t="s">
        <v>86</v>
      </c>
      <c r="D47" s="170"/>
      <c r="E47" s="169"/>
    </row>
    <row r="48" spans="3:5">
      <c r="C48" s="170" t="s">
        <v>41</v>
      </c>
      <c r="D48" s="170"/>
      <c r="E48" s="169"/>
    </row>
    <row r="49" spans="3:5">
      <c r="C49" s="170" t="s">
        <v>42</v>
      </c>
      <c r="D49" s="170"/>
      <c r="E49" s="169"/>
    </row>
    <row r="50" spans="3:5">
      <c r="C50" s="170" t="s">
        <v>87</v>
      </c>
      <c r="D50" s="171"/>
      <c r="E50" s="169"/>
    </row>
    <row r="51" spans="3:5">
      <c r="C51" s="170" t="s">
        <v>108</v>
      </c>
      <c r="D51" s="170"/>
      <c r="E51" s="169"/>
    </row>
    <row r="52" spans="3:5">
      <c r="C52" s="171" t="s">
        <v>20</v>
      </c>
      <c r="D52" s="170"/>
      <c r="E52" s="169"/>
    </row>
    <row r="53" spans="3:5">
      <c r="C53" s="170" t="s">
        <v>106</v>
      </c>
      <c r="D53" s="170"/>
      <c r="E53" s="169"/>
    </row>
    <row r="54" spans="3:5">
      <c r="C54" s="171" t="s">
        <v>19</v>
      </c>
      <c r="D54" s="171"/>
      <c r="E54" s="169"/>
    </row>
    <row r="55" spans="3:5">
      <c r="C55" s="170" t="s">
        <v>104</v>
      </c>
    </row>
    <row r="56" spans="3:5">
      <c r="C56" s="170" t="s">
        <v>109</v>
      </c>
    </row>
    <row r="57" spans="3:5">
      <c r="C57" s="170" t="s">
        <v>100</v>
      </c>
    </row>
    <row r="58" spans="3:5">
      <c r="C58" s="170" t="s">
        <v>88</v>
      </c>
    </row>
    <row r="59" spans="3:5">
      <c r="C59" s="171" t="s">
        <v>17</v>
      </c>
    </row>
    <row r="60" spans="3:5">
      <c r="C60" s="170" t="s">
        <v>105</v>
      </c>
    </row>
    <row r="61" spans="3:5">
      <c r="C61" s="170" t="s">
        <v>103</v>
      </c>
    </row>
    <row r="62" spans="3:5">
      <c r="C62" s="170" t="s">
        <v>92</v>
      </c>
    </row>
    <row r="63" spans="3:5">
      <c r="C63" s="171" t="s">
        <v>16</v>
      </c>
    </row>
    <row r="64" spans="3:5">
      <c r="C64" s="170" t="s">
        <v>69</v>
      </c>
    </row>
    <row r="65" spans="3:3">
      <c r="C65" s="171" t="s">
        <v>38</v>
      </c>
    </row>
    <row r="66" spans="3:3">
      <c r="C66" s="170" t="s">
        <v>89</v>
      </c>
    </row>
    <row r="67" spans="3:3">
      <c r="C67" s="170" t="s">
        <v>107</v>
      </c>
    </row>
    <row r="68" spans="3:3">
      <c r="C68" s="170" t="s">
        <v>98</v>
      </c>
    </row>
    <row r="69" spans="3:3">
      <c r="C69" s="171" t="s">
        <v>15</v>
      </c>
    </row>
    <row r="70" spans="3:3">
      <c r="C70" s="170" t="s">
        <v>63</v>
      </c>
    </row>
    <row r="71" spans="3:3">
      <c r="C71" s="170" t="s">
        <v>101</v>
      </c>
    </row>
    <row r="72" spans="3:3">
      <c r="C72" s="171" t="s">
        <v>18</v>
      </c>
    </row>
    <row r="73" spans="3:3">
      <c r="C73" s="170" t="s">
        <v>48</v>
      </c>
    </row>
    <row r="74" spans="3:3">
      <c r="C74" s="170" t="s">
        <v>12</v>
      </c>
    </row>
    <row r="75" spans="3:3">
      <c r="C75" s="170" t="s">
        <v>3</v>
      </c>
    </row>
    <row r="76" spans="3:3">
      <c r="C76" s="170" t="s">
        <v>79</v>
      </c>
    </row>
    <row r="77" spans="3:3">
      <c r="C77" s="170" t="s">
        <v>39</v>
      </c>
    </row>
    <row r="78" spans="3:3">
      <c r="C78" s="275"/>
    </row>
    <row r="79" spans="3:3">
      <c r="C79" s="284"/>
    </row>
    <row r="80" spans="3:3">
      <c r="C80" s="275"/>
    </row>
    <row r="81" spans="2:3" ht="36.75" customHeight="1">
      <c r="B81" s="16"/>
      <c r="C81" s="323" t="s">
        <v>55</v>
      </c>
    </row>
    <row r="82" spans="2:3">
      <c r="C82" s="171" t="s">
        <v>1</v>
      </c>
    </row>
    <row r="83" spans="2:3">
      <c r="C83" s="170" t="s">
        <v>1</v>
      </c>
    </row>
    <row r="84" spans="2:3">
      <c r="C84" s="171" t="s">
        <v>14</v>
      </c>
    </row>
    <row r="85" spans="2:3">
      <c r="C85" s="170" t="s">
        <v>71</v>
      </c>
    </row>
    <row r="86" spans="2:3">
      <c r="C86" s="170" t="s">
        <v>93</v>
      </c>
    </row>
    <row r="87" spans="2:3">
      <c r="C87" s="170" t="s">
        <v>72</v>
      </c>
    </row>
    <row r="88" spans="2:3">
      <c r="C88" s="170" t="s">
        <v>82</v>
      </c>
    </row>
    <row r="89" spans="2:3">
      <c r="C89" s="171" t="s">
        <v>33</v>
      </c>
    </row>
    <row r="90" spans="2:3">
      <c r="C90" s="170" t="s">
        <v>81</v>
      </c>
    </row>
    <row r="91" spans="2:3">
      <c r="C91" s="170" t="s">
        <v>70</v>
      </c>
    </row>
    <row r="92" spans="2:3">
      <c r="C92" s="171" t="s">
        <v>91</v>
      </c>
    </row>
    <row r="93" spans="2:3">
      <c r="C93" s="170" t="s">
        <v>7</v>
      </c>
    </row>
    <row r="94" spans="2:3">
      <c r="C94" s="170" t="s">
        <v>6</v>
      </c>
    </row>
    <row r="95" spans="2:3">
      <c r="C95" s="170" t="s">
        <v>94</v>
      </c>
    </row>
    <row r="96" spans="2:3">
      <c r="C96" s="170" t="s">
        <v>77</v>
      </c>
    </row>
    <row r="97" spans="3:3">
      <c r="C97" s="171" t="s">
        <v>20</v>
      </c>
    </row>
    <row r="98" spans="3:3">
      <c r="C98" s="170" t="s">
        <v>73</v>
      </c>
    </row>
    <row r="99" spans="3:3">
      <c r="C99" s="171" t="s">
        <v>17</v>
      </c>
    </row>
    <row r="100" spans="3:3">
      <c r="C100" s="170" t="s">
        <v>76</v>
      </c>
    </row>
    <row r="101" spans="3:3">
      <c r="C101" s="170" t="s">
        <v>49</v>
      </c>
    </row>
    <row r="102" spans="3:3">
      <c r="C102" s="170" t="s">
        <v>13</v>
      </c>
    </row>
    <row r="103" spans="3:3">
      <c r="C103" s="171" t="s">
        <v>16</v>
      </c>
    </row>
    <row r="104" spans="3:3">
      <c r="C104" s="170" t="s">
        <v>75</v>
      </c>
    </row>
    <row r="105" spans="3:3">
      <c r="C105" s="171" t="s">
        <v>15</v>
      </c>
    </row>
    <row r="106" spans="3:3">
      <c r="C106" s="170" t="s">
        <v>99</v>
      </c>
    </row>
    <row r="107" spans="3:3">
      <c r="C107" s="170" t="s">
        <v>74</v>
      </c>
    </row>
    <row r="108" spans="3:3">
      <c r="C108" s="171" t="s">
        <v>18</v>
      </c>
    </row>
    <row r="109" spans="3:3">
      <c r="C109" s="170" t="s">
        <v>49</v>
      </c>
    </row>
    <row r="110" spans="3:3">
      <c r="C110" s="170" t="s">
        <v>85</v>
      </c>
    </row>
    <row r="111" spans="3:3">
      <c r="C111" s="170" t="s">
        <v>84</v>
      </c>
    </row>
    <row r="112" spans="3:3">
      <c r="C112" s="170" t="s">
        <v>90</v>
      </c>
    </row>
    <row r="113" spans="3:3">
      <c r="C113" s="170" t="s">
        <v>83</v>
      </c>
    </row>
    <row r="114" spans="3:3">
      <c r="C114" s="324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T39" sqref="T39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(janeiro-setembro)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(janeiro-setembro)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20" t="str">
        <f>+Q3_Global_M!C2</f>
        <v>QUADRO III - Execução orçamental do Gov. Regional (setembro)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(janeiro-setembro)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(janeiro-setembro)</v>
      </c>
      <c r="B7" s="217"/>
      <c r="C7" s="217"/>
      <c r="D7" s="217"/>
    </row>
    <row r="8" spans="1:25" s="179" customFormat="1" ht="20.100000000000001" customHeight="1">
      <c r="A8" s="285" t="str">
        <f>+'Q6_D_Est ECO'!C2</f>
        <v>QUADRO VI - Execução orçamental das despesas do Governo Regional (janeiro-setembro)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(janeiro-setembro)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(janeiro-setembro)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(janeiro-setembro)</v>
      </c>
      <c r="B11" s="217"/>
      <c r="C11" s="217"/>
      <c r="D11" s="217"/>
    </row>
    <row r="12" spans="1:25" s="179" customFormat="1" ht="20.100000000000001" customHeight="1">
      <c r="A12" s="285" t="str">
        <f>+'Q10_SFA '!C2</f>
        <v>QUADRO X - Execução orçamental dos Serviços e Fundos Autónomos e EPR (janeiro-setembro)</v>
      </c>
      <c r="B12" s="286"/>
      <c r="C12" s="286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(janeiro-setembro)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(setembro)</v>
      </c>
      <c r="B14" s="217"/>
      <c r="C14" s="217"/>
      <c r="D14" s="217"/>
    </row>
    <row r="15" spans="1:25" s="179" customFormat="1" ht="20.100000000000001" customHeight="1">
      <c r="A15" s="285" t="str">
        <f>+Q_13_14_15_16_Compromissos!C2</f>
        <v>QUADRO XIII - Contas a pagar, da Administração Regional, no final de setembro de 2022 (valores acumulados)</v>
      </c>
      <c r="B15" s="286"/>
      <c r="C15" s="286"/>
      <c r="D15" s="286"/>
    </row>
    <row r="16" spans="1:25" s="179" customFormat="1" ht="20.100000000000001" customHeight="1">
      <c r="A16" s="285" t="str">
        <f>+Q_13_14_15_16_Compromissos!C23</f>
        <v>QUADRO XIV - Contas a pagar, do Governo Regional, no final de setembro de 2022 (valores acumulados)</v>
      </c>
      <c r="B16" s="286"/>
      <c r="C16" s="286"/>
      <c r="D16" s="286"/>
    </row>
    <row r="17" spans="1:4" s="179" customFormat="1" ht="20.100000000000001" customHeight="1">
      <c r="A17" s="285" t="str">
        <f>+Q_13_14_15_16_Compromissos!C32</f>
        <v>QUADRO XV - Contas a pagar, dos Serviços e Fundos Autónomos, no final de agosto de 2022 (valores acumulados)</v>
      </c>
      <c r="B17" s="286"/>
      <c r="C17" s="286"/>
      <c r="D17" s="286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agosto de 2022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286"/>
      <c r="B21" s="286"/>
      <c r="C21" s="286"/>
      <c r="D21" s="286"/>
    </row>
    <row r="22" spans="1:4">
      <c r="A22" s="325"/>
      <c r="B22" s="325"/>
      <c r="C22" s="325"/>
      <c r="D22" s="325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1" display="'Pagamentos_Atraso '!B81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M14" sqref="M14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QUADRO I - Execução orçamental consolidada (janeiro-setembro)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2022","Consolidated balance")</f>
        <v>Saldo
consolidado
2022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840673.51441999979</v>
      </c>
      <c r="E5" s="57">
        <v>330453.09856999986</v>
      </c>
      <c r="F5" s="57">
        <v>215252.98982000005</v>
      </c>
      <c r="G5" s="57">
        <v>905880.85204999964</v>
      </c>
      <c r="H5" s="57">
        <v>15.177654276190733</v>
      </c>
    </row>
    <row r="6" spans="1:10" ht="11.25" customHeight="1">
      <c r="C6" s="68" t="str">
        <f>+IF(Índice!$D$2=1,"Impostos diretos","Direct taxes")</f>
        <v>Impostos diretos</v>
      </c>
      <c r="D6" s="56">
        <v>216323.43309999999</v>
      </c>
      <c r="E6" s="56">
        <v>0</v>
      </c>
      <c r="F6" s="56">
        <v>0</v>
      </c>
      <c r="G6" s="56">
        <v>216323.43309999999</v>
      </c>
      <c r="H6" s="56">
        <v>35.176993743599347</v>
      </c>
    </row>
    <row r="7" spans="1:10">
      <c r="C7" s="68" t="str">
        <f>+IF(Índice!$D$2=1,"Impostos indiretos","Indirect taxes")</f>
        <v>Impostos indiretos</v>
      </c>
      <c r="D7" s="56">
        <v>459635.55103999987</v>
      </c>
      <c r="E7" s="56">
        <v>0</v>
      </c>
      <c r="F7" s="56">
        <v>0</v>
      </c>
      <c r="G7" s="56">
        <v>459635.55103999987</v>
      </c>
      <c r="H7" s="56">
        <v>10.046472796359684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164714.53027999995</v>
      </c>
      <c r="E9" s="56">
        <v>330453.09856999986</v>
      </c>
      <c r="F9" s="56">
        <v>215252.98982000005</v>
      </c>
      <c r="G9" s="56">
        <v>228634.89382999996</v>
      </c>
      <c r="H9" s="56">
        <v>9.4975534777639083</v>
      </c>
    </row>
    <row r="10" spans="1:10">
      <c r="C10" s="69" t="str">
        <f>+IF(Índice!$D$2=1,"Transferências correntes","Current transfers")</f>
        <v>Transferências correntes</v>
      </c>
      <c r="D10" s="56">
        <v>136887.10721999998</v>
      </c>
      <c r="E10" s="56">
        <v>324257.21000999992</v>
      </c>
      <c r="F10" s="56">
        <v>185007.85234000004</v>
      </c>
      <c r="G10" s="56">
        <v>164366.44472999999</v>
      </c>
      <c r="H10" s="56">
        <v>1.9290475543729535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136427.08319</v>
      </c>
      <c r="E11" s="56">
        <v>595.31695000000002</v>
      </c>
      <c r="F11" s="56">
        <v>804.81101000000012</v>
      </c>
      <c r="G11" s="56">
        <v>137827.21115000002</v>
      </c>
      <c r="H11" s="56">
        <v>-6.3418580619914895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299681.95801999996</v>
      </c>
      <c r="F12" s="56">
        <v>182103.76681999999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1286.9740799998981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76530.63274999999</v>
      </c>
      <c r="E14" s="57">
        <v>71630.568429999985</v>
      </c>
      <c r="F14" s="57">
        <v>30194.096070000007</v>
      </c>
      <c r="G14" s="57">
        <v>118359.6471</v>
      </c>
      <c r="H14" s="57">
        <v>48.864580905363852</v>
      </c>
    </row>
    <row r="15" spans="1:10">
      <c r="C15" s="68" t="str">
        <f>+IF(Índice!$D$2=1,"Venda de bens de investimento","Sale of investment goods")</f>
        <v>Venda de bens de investimento</v>
      </c>
      <c r="D15" s="56">
        <v>4182.6777599999996</v>
      </c>
      <c r="E15" s="56">
        <v>0</v>
      </c>
      <c r="F15" s="56">
        <v>319.24982</v>
      </c>
      <c r="G15" s="56">
        <v>4501.9275799999996</v>
      </c>
      <c r="H15" s="56">
        <v>106.47492008049144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64546.398909999996</v>
      </c>
      <c r="E16" s="56">
        <v>71480.589469999992</v>
      </c>
      <c r="F16" s="56">
        <v>29766.622500000009</v>
      </c>
      <c r="G16" s="56">
        <v>105797.96073000002</v>
      </c>
      <c r="H16" s="56">
        <v>39.3883924653978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33279.074480000003</v>
      </c>
      <c r="E17" s="56">
        <v>0</v>
      </c>
      <c r="F17" s="56">
        <v>0</v>
      </c>
      <c r="G17" s="56">
        <v>33279.074480000003</v>
      </c>
      <c r="H17" s="56">
        <v>-8.8660738441634468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53512.317459999977</v>
      </c>
      <c r="F18" s="56">
        <v>6483.3326899999993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917204.14716999978</v>
      </c>
      <c r="E20" s="57">
        <v>402083.66699999984</v>
      </c>
      <c r="F20" s="57">
        <v>245447.08589000005</v>
      </c>
      <c r="G20" s="57">
        <v>1024240.4991499996</v>
      </c>
      <c r="H20" s="57">
        <v>18.270426175774212</v>
      </c>
    </row>
    <row r="21" spans="3:8" ht="20.25" customHeight="1">
      <c r="C21" s="220" t="str">
        <f>+IF(Índice!$D$2=1,"Despesa corrente","Current expenditure")</f>
        <v>Despesa corrente</v>
      </c>
      <c r="D21" s="220">
        <v>866758.25309999986</v>
      </c>
      <c r="E21" s="220">
        <v>312635.75146999996</v>
      </c>
      <c r="F21" s="220">
        <v>234253.16482999988</v>
      </c>
      <c r="G21" s="220">
        <v>933140.05241</v>
      </c>
      <c r="H21" s="220">
        <v>2.2629219326401939</v>
      </c>
    </row>
    <row r="22" spans="3:8" ht="10.5" customHeight="1">
      <c r="C22" s="68" t="str">
        <f>+IF(Índice!$D$2=1,"Consumo público","Public consumption")</f>
        <v>Consumo público</v>
      </c>
      <c r="D22" s="56">
        <v>410190.21868000028</v>
      </c>
      <c r="E22" s="56">
        <v>103569.01899000001</v>
      </c>
      <c r="F22" s="56">
        <v>221831.61788999988</v>
      </c>
      <c r="G22" s="56">
        <v>735590.85556000017</v>
      </c>
      <c r="H22" s="56">
        <v>-0.36344168072973693</v>
      </c>
    </row>
    <row r="23" spans="3:8">
      <c r="C23" s="69" t="str">
        <f>+IF(Índice!$D$2=1,"Despesas com o pessoal","Compensation of employees")</f>
        <v>Despesas com o pessoal</v>
      </c>
      <c r="D23" s="56">
        <v>293504.33457000018</v>
      </c>
      <c r="E23" s="56">
        <v>35027.184779999989</v>
      </c>
      <c r="F23" s="56">
        <v>164224.28809999992</v>
      </c>
      <c r="G23" s="56">
        <v>492755.80745000008</v>
      </c>
      <c r="H23" s="56">
        <v>3.4970876548640728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116685.88411000009</v>
      </c>
      <c r="E24" s="56">
        <v>68541.834210000015</v>
      </c>
      <c r="F24" s="56">
        <v>57607.329789999967</v>
      </c>
      <c r="G24" s="56">
        <v>242835.04811000009</v>
      </c>
      <c r="H24" s="56">
        <v>-7.3742913478815115</v>
      </c>
    </row>
    <row r="25" spans="3:8">
      <c r="C25" s="68" t="str">
        <f>+IF(Índice!$D$2=1,"Subsídios","Subsidies")</f>
        <v>Subsídios</v>
      </c>
      <c r="D25" s="56">
        <v>17952.149040000004</v>
      </c>
      <c r="E25" s="56">
        <v>5936.2875200000017</v>
      </c>
      <c r="F25" s="56">
        <v>7.2296400000000007</v>
      </c>
      <c r="G25" s="56">
        <v>23887.299970000007</v>
      </c>
      <c r="H25" s="56">
        <v>-3.4504019619870152</v>
      </c>
    </row>
    <row r="26" spans="3:8">
      <c r="C26" s="68" t="str">
        <f>+IF(Índice!$D$2=1,"Juros e outros encargos","Interests and other charges")</f>
        <v>Juros e outros encargos</v>
      </c>
      <c r="D26" s="56">
        <v>73793.575700000016</v>
      </c>
      <c r="E26" s="56">
        <v>92.907300000000006</v>
      </c>
      <c r="F26" s="56">
        <v>3068.2307000000001</v>
      </c>
      <c r="G26" s="56">
        <v>76954.713700000022</v>
      </c>
      <c r="H26" s="56">
        <v>45.249095887783206</v>
      </c>
    </row>
    <row r="27" spans="3:8">
      <c r="C27" s="68" t="str">
        <f>+IF(Índice!$D$2=1,"Transferências correntes","Current transfers")</f>
        <v>Transferências correntes</v>
      </c>
      <c r="D27" s="56">
        <v>364822.30967999966</v>
      </c>
      <c r="E27" s="56">
        <v>203037.53765999994</v>
      </c>
      <c r="F27" s="56">
        <v>9346.086600000006</v>
      </c>
      <c r="G27" s="56">
        <v>96707.183179999643</v>
      </c>
      <c r="H27" s="56">
        <v>0.5645377790924444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274.87770999999998</v>
      </c>
      <c r="E28" s="56">
        <v>1461.7689500000001</v>
      </c>
      <c r="F28" s="56">
        <v>0</v>
      </c>
      <c r="G28" s="56">
        <v>1736.6466600000001</v>
      </c>
      <c r="H28" s="56">
        <v>19.351672687375054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306494.19660000002</v>
      </c>
      <c r="E29" s="56">
        <v>174004.55416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144215.46759000016</v>
      </c>
      <c r="E31" s="57">
        <v>62034.815040000001</v>
      </c>
      <c r="F31" s="57">
        <v>9701.9349200000051</v>
      </c>
      <c r="G31" s="57">
        <v>155956.56740000017</v>
      </c>
      <c r="H31" s="57">
        <v>39.796124027139811</v>
      </c>
    </row>
    <row r="32" spans="3:8">
      <c r="C32" s="68" t="str">
        <f>+IF(Índice!$D$2=1,"Investimento","Investment")</f>
        <v>Investimento</v>
      </c>
      <c r="D32" s="56">
        <v>70165.70221000012</v>
      </c>
      <c r="E32" s="56">
        <v>1969.0960799999998</v>
      </c>
      <c r="F32" s="56">
        <v>9428.0401200000051</v>
      </c>
      <c r="G32" s="56">
        <v>81562.838410000128</v>
      </c>
      <c r="H32" s="56">
        <v>14.380243504472624</v>
      </c>
    </row>
    <row r="33" spans="3:8">
      <c r="C33" s="68" t="str">
        <f>+IF(Índice!$D$2=1,"Transferências capital","Capital transfers")</f>
        <v>Transferências capital</v>
      </c>
      <c r="D33" s="56">
        <v>74049.765380000041</v>
      </c>
      <c r="E33" s="56">
        <v>60065.718959999998</v>
      </c>
      <c r="F33" s="56">
        <v>273.89479999999998</v>
      </c>
      <c r="G33" s="56">
        <v>74195.092110000041</v>
      </c>
      <c r="H33" s="56">
        <v>84.328735608387689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5664.8169600000001</v>
      </c>
      <c r="E34" s="56">
        <v>0</v>
      </c>
      <c r="F34" s="56">
        <v>0</v>
      </c>
      <c r="G34" s="56">
        <v>5664.8169600000001</v>
      </c>
      <c r="H34" s="56">
        <v>0.75068497384083166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59915.003369999991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1010973.72069</v>
      </c>
      <c r="E38" s="86">
        <v>374670.56650999998</v>
      </c>
      <c r="F38" s="86">
        <v>243955.09974999991</v>
      </c>
      <c r="G38" s="86">
        <v>1089096.6198100001</v>
      </c>
      <c r="H38" s="86">
        <v>6.3517846217422846</v>
      </c>
    </row>
    <row r="39" spans="3:8" ht="17.25" customHeight="1">
      <c r="C39" s="138" t="str">
        <f>+IF(Índice!$D$2=1,"Saldo global","Overall balance")</f>
        <v>Saldo global</v>
      </c>
      <c r="D39" s="139">
        <v>-93769.573520000209</v>
      </c>
      <c r="E39" s="139">
        <v>27413.100489999866</v>
      </c>
      <c r="F39" s="139">
        <v>1491.9861400001391</v>
      </c>
      <c r="G39" s="139">
        <v>-64856.120660000481</v>
      </c>
      <c r="H39" s="139">
        <v>58.961008275255608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-26084.738680000068</v>
      </c>
      <c r="E41" s="19">
        <v>17817.347099999897</v>
      </c>
      <c r="F41" s="19">
        <v>-19000.175009999832</v>
      </c>
      <c r="G41" s="19">
        <v>-27259.200360000366</v>
      </c>
      <c r="H41" s="19">
        <v>78.362901800588347</v>
      </c>
    </row>
    <row r="42" spans="3:8">
      <c r="C42" s="68" t="str">
        <f>+IF(Índice!$D$2=1,"Despesa corrente primária","Primary current expenditure")</f>
        <v>Despesa corrente primária</v>
      </c>
      <c r="D42" s="19">
        <v>792964.67739999981</v>
      </c>
      <c r="E42" s="19">
        <v>312542.84416999994</v>
      </c>
      <c r="F42" s="19">
        <v>231184.93412999989</v>
      </c>
      <c r="G42" s="19">
        <v>856185.33871000004</v>
      </c>
      <c r="H42" s="19">
        <v>-0.38679634668631335</v>
      </c>
    </row>
    <row r="43" spans="3:8">
      <c r="C43" s="68" t="str">
        <f>+IF(Índice!$D$2=1,"Saldo corrente primário","Primary current balance")</f>
        <v>Saldo corrente primário</v>
      </c>
      <c r="D43" s="19">
        <v>47708.837019999977</v>
      </c>
      <c r="E43" s="19">
        <v>17910.254399999918</v>
      </c>
      <c r="F43" s="19">
        <v>-15931.944309999846</v>
      </c>
      <c r="G43" s="19">
        <v>49695.513339999598</v>
      </c>
      <c r="H43" s="19">
        <v>168.07378540707745</v>
      </c>
    </row>
    <row r="44" spans="3:8">
      <c r="C44" s="68" t="str">
        <f>+IF(Índice!$D$2=1,"Saldo de capital","Capital balance")</f>
        <v>Saldo de capital</v>
      </c>
      <c r="D44" s="19">
        <v>-67684.834840000171</v>
      </c>
      <c r="E44" s="19">
        <v>9595.7533899999835</v>
      </c>
      <c r="F44" s="19">
        <v>20492.16115</v>
      </c>
      <c r="G44" s="19">
        <v>-37596.920300000173</v>
      </c>
      <c r="H44" s="19">
        <v>-17.30070769454435</v>
      </c>
    </row>
    <row r="45" spans="3:8">
      <c r="C45" s="68" t="str">
        <f t="array" ref="C45">+IF(Índice!$D$2=1,"Despesa primária","Primary expenditure")</f>
        <v>Despesa primária</v>
      </c>
      <c r="D45" s="19">
        <v>937180.14498999994</v>
      </c>
      <c r="E45" s="19">
        <v>374577.65920999995</v>
      </c>
      <c r="F45" s="19">
        <v>240886.86904999992</v>
      </c>
      <c r="G45" s="19">
        <v>1012141.9061100001</v>
      </c>
      <c r="H45" s="19">
        <v>4.2295622972737146</v>
      </c>
    </row>
    <row r="46" spans="3:8">
      <c r="C46" s="221" t="str">
        <f>+IF(Índice!$D$2=1,"Saldo primário","Primary balance")</f>
        <v>Saldo primário</v>
      </c>
      <c r="D46" s="132">
        <v>-19975.997820000164</v>
      </c>
      <c r="E46" s="132">
        <v>27506.007789999887</v>
      </c>
      <c r="F46" s="132">
        <v>4560.2168400001246</v>
      </c>
      <c r="G46" s="132">
        <v>12098.593039999483</v>
      </c>
      <c r="H46" s="132">
        <v>111.5165285774699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QUADRO II - Execução orçamental do Gov. Regional (janeiro-setembro)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747655.51784999995</v>
      </c>
      <c r="E5" s="225">
        <v>840673.51441999979</v>
      </c>
      <c r="F5" s="225">
        <v>12.441290721358889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577439.80505999993</v>
      </c>
      <c r="E6" s="231">
        <v>675958.98413999984</v>
      </c>
      <c r="F6" s="231">
        <v>17.061376478845801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159778.65005999999</v>
      </c>
      <c r="E7" s="231">
        <v>216323.43309999999</v>
      </c>
      <c r="F7" s="231">
        <v>35.389448476856167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417661.15499999991</v>
      </c>
      <c r="E8" s="231">
        <v>459635.55103999987</v>
      </c>
      <c r="F8" s="231">
        <v>10.049868305325148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170215.71278999999</v>
      </c>
      <c r="E9" s="231">
        <v>164714.53027999998</v>
      </c>
      <c r="F9" s="231">
        <v>-3.2318887720941381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64466.028400000003</v>
      </c>
      <c r="E10" s="232">
        <v>76530.63274999999</v>
      </c>
      <c r="F10" s="232">
        <v>18.71466980273906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812121.5462499999</v>
      </c>
      <c r="E12" s="232">
        <v>917204.14716999978</v>
      </c>
      <c r="F12" s="232">
        <v>12.939270162849702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885030.01154000033</v>
      </c>
      <c r="E14" s="232">
        <v>866758.25310000032</v>
      </c>
      <c r="F14" s="232">
        <v>-2.0645354622727652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277172.79177000019</v>
      </c>
      <c r="E15" s="231">
        <v>293504.33457000018</v>
      </c>
      <c r="F15" s="231">
        <v>5.8921882973102191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102916.63967000015</v>
      </c>
      <c r="E16" s="231">
        <v>115974.26031000009</v>
      </c>
      <c r="F16" s="231">
        <v>12.687569941915022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49207.868550000007</v>
      </c>
      <c r="E17" s="231">
        <v>73793.575700000016</v>
      </c>
      <c r="F17" s="231">
        <v>49.96295892194258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438472.21277000004</v>
      </c>
      <c r="E18" s="231">
        <v>364822.30968000001</v>
      </c>
      <c r="F18" s="231">
        <v>-16.796937398774915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371876.76764000003</v>
      </c>
      <c r="E19" s="231">
        <v>306769.07431</v>
      </c>
      <c r="F19" s="231">
        <v>-17.507867927105458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66595.445130000007</v>
      </c>
      <c r="E20" s="231">
        <v>58053.235370000009</v>
      </c>
      <c r="F20" s="231">
        <v>-12.827018039033867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16952.011780000001</v>
      </c>
      <c r="E21" s="231">
        <v>17952.149040000004</v>
      </c>
      <c r="F21" s="231">
        <v>5.899814564664041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308.48700000000014</v>
      </c>
      <c r="E22" s="231">
        <v>711.62380000000019</v>
      </c>
      <c r="F22" s="231">
        <v>130.68194121632351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96321.320240000001</v>
      </c>
      <c r="E23" s="232">
        <v>144215.4675900001</v>
      </c>
      <c r="F23" s="232">
        <v>49.72330864097809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56909.6417</v>
      </c>
      <c r="E24" s="231">
        <v>70165.70221000012</v>
      </c>
      <c r="F24" s="231">
        <v>23.293171620864594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39411.678540000008</v>
      </c>
      <c r="E25" s="231">
        <v>74049.765379999983</v>
      </c>
      <c r="F25" s="231">
        <v>87.887875175995902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31730.623420000011</v>
      </c>
      <c r="E26" s="231">
        <v>65579.820329999988</v>
      </c>
      <c r="F26" s="231">
        <v>106.67674713464538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7681.0551200000009</v>
      </c>
      <c r="E27" s="231">
        <v>8469.9450499999984</v>
      </c>
      <c r="F27" s="231">
        <v>10.270593267139549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981351.33178000036</v>
      </c>
      <c r="E29" s="235">
        <v>1010973.7206900005</v>
      </c>
      <c r="F29" s="235">
        <v>3.0185304641376698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-169229.78553000037</v>
      </c>
      <c r="E31" s="139">
        <v>-93769.573520000646</v>
      </c>
      <c r="F31" s="139">
        <v>44.590384472609543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-137374.49369000038</v>
      </c>
      <c r="E33" s="19">
        <v>-26084.738680000533</v>
      </c>
      <c r="F33" s="19">
        <v>81.011949176778458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-31855.291839999998</v>
      </c>
      <c r="E34" s="19">
        <v>-67684.834840000112</v>
      </c>
      <c r="F34" s="19">
        <v>-112.47595275523339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-120021.91698000036</v>
      </c>
      <c r="E35" s="19">
        <v>-19975.99782000063</v>
      </c>
      <c r="F35" s="19">
        <v>83.356374966641056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28166.532009999999</v>
      </c>
      <c r="E36" s="106">
        <v>28795.776950000003</v>
      </c>
      <c r="F36" s="106">
        <v>2.2340163843266314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17" sqref="C1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QUADRO III - Execução orçamental do Gov. Regional (setembro)</v>
      </c>
      <c r="D2" s="224"/>
      <c r="E2" s="225"/>
      <c r="F2" s="49" t="str">
        <f>+IF(Índice!$D$2=1,"€ Milhares","€ Thousands")</f>
        <v>€ Milhares</v>
      </c>
      <c r="G2"/>
      <c r="H2" s="287" t="str">
        <f>+IF(Índice!$D$2=1,"índice","Index")</f>
        <v>índice</v>
      </c>
      <c r="K2" s="18"/>
      <c r="Z2" s="7"/>
      <c r="AC2" s="18"/>
    </row>
    <row r="3" spans="2:29" ht="35.1" customHeight="1">
      <c r="C3" s="288"/>
      <c r="D3" s="289">
        <v>2020</v>
      </c>
      <c r="E3" s="289">
        <v>2021</v>
      </c>
      <c r="F3" s="290" t="str">
        <f>+IF(Índice!$D$2=1,"VH (%)","yoy variation (%)")</f>
        <v>VH (%)</v>
      </c>
      <c r="G3"/>
      <c r="H3" s="23"/>
      <c r="Z3" s="7"/>
      <c r="AC3" s="18"/>
    </row>
    <row r="4" spans="2:29" ht="6.75" customHeight="1">
      <c r="C4" s="101"/>
      <c r="D4" s="291"/>
      <c r="E4" s="292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85398.081070000015</v>
      </c>
      <c r="E5" s="225">
        <v>108274.8455899999</v>
      </c>
      <c r="F5" s="225">
        <v>26.788382400827039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83990.168720000031</v>
      </c>
      <c r="E6" s="231">
        <v>107015.22446999991</v>
      </c>
      <c r="F6" s="231">
        <v>27.413989161944706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33107.596300000012</v>
      </c>
      <c r="E7" s="231">
        <v>49851.644310000003</v>
      </c>
      <c r="F7" s="231">
        <v>50.574641113405107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50882.572420000019</v>
      </c>
      <c r="E8" s="231">
        <v>57163.58015999991</v>
      </c>
      <c r="F8" s="231">
        <v>12.344123815428532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1407.9123499999869</v>
      </c>
      <c r="E9" s="231">
        <v>1259.6211200000012</v>
      </c>
      <c r="F9" s="231">
        <v>-10.532703260965581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8143.3415400000049</v>
      </c>
      <c r="E10" s="232">
        <v>1144.6577099999945</v>
      </c>
      <c r="F10" s="232">
        <v>-85.943636228721971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93541.422610000023</v>
      </c>
      <c r="E12" s="232">
        <v>109419.50329999989</v>
      </c>
      <c r="F12" s="232">
        <v>16.974384445915437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3"/>
      <c r="M13" s="294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87929.960510000485</v>
      </c>
      <c r="E14" s="232">
        <v>81313.175110000608</v>
      </c>
      <c r="F14" s="232">
        <v>-7.525063541052468</v>
      </c>
      <c r="G14"/>
      <c r="H14" s="23"/>
      <c r="K14" s="23"/>
      <c r="M14" s="295">
        <v>0</v>
      </c>
      <c r="N14" s="296"/>
      <c r="O14" s="296"/>
      <c r="P14" s="296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29235.67487000045</v>
      </c>
      <c r="E15" s="231">
        <v>30944.564400000781</v>
      </c>
      <c r="F15" s="231">
        <v>5.8452200525525466</v>
      </c>
      <c r="G15"/>
      <c r="H15" s="23"/>
      <c r="N15" s="296"/>
      <c r="O15" s="296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5601.7740000001641</v>
      </c>
      <c r="E16" s="231">
        <v>4946.8512500000597</v>
      </c>
      <c r="F16" s="231">
        <v>-11.691345455923162</v>
      </c>
      <c r="G16"/>
      <c r="H16" s="23"/>
      <c r="I16" s="24"/>
      <c r="N16" s="296"/>
      <c r="O16" s="296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57.353200000002978</v>
      </c>
      <c r="E17" s="231">
        <v>2530.3199800000189</v>
      </c>
      <c r="F17" s="231">
        <v>4311.8200553759643</v>
      </c>
      <c r="G17"/>
      <c r="H17" s="23"/>
      <c r="I17" s="24"/>
      <c r="N17" s="296"/>
      <c r="O17" s="296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52017.136379999873</v>
      </c>
      <c r="E18" s="231">
        <v>40700.909749999759</v>
      </c>
      <c r="F18" s="231">
        <v>-21.754805084485774</v>
      </c>
      <c r="G18"/>
      <c r="H18" s="23"/>
      <c r="I18" s="24"/>
      <c r="N18" s="296"/>
      <c r="O18" s="296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1011.2529000000022</v>
      </c>
      <c r="E19" s="231">
        <v>2172.0438000000026</v>
      </c>
      <c r="F19" s="231">
        <v>114.78739887915256</v>
      </c>
      <c r="G19"/>
      <c r="H19" s="23"/>
      <c r="I19" s="24"/>
      <c r="N19" s="296"/>
      <c r="O19" s="296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6.7691600000000323</v>
      </c>
      <c r="E20" s="231">
        <v>18.485929999999936</v>
      </c>
      <c r="F20" s="231">
        <v>173.09045730932417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15295.307680000024</v>
      </c>
      <c r="E21" s="232">
        <v>16405.199240000151</v>
      </c>
      <c r="F21" s="232">
        <v>7.2564186561046462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8905.4405300000089</v>
      </c>
      <c r="E22" s="231">
        <v>13533.868170000098</v>
      </c>
      <c r="F22" s="231">
        <v>51.973034061685944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6389.8671500000137</v>
      </c>
      <c r="E23" s="231">
        <v>2871.3310700000525</v>
      </c>
      <c r="F23" s="231">
        <v>-55.06430724463425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7">
        <v>103225.26819000051</v>
      </c>
      <c r="E25" s="297">
        <v>97718.374350000755</v>
      </c>
      <c r="F25" s="297">
        <v>-5.3348312254936969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8" t="str">
        <f>+IF(Índice!$D$2=1,"Saldo global","Overall balance")</f>
        <v>Saldo global</v>
      </c>
      <c r="D27" s="299">
        <v>-9683.8455800004886</v>
      </c>
      <c r="E27" s="299">
        <v>11701.12894999914</v>
      </c>
      <c r="F27" s="299">
        <v>220.83142852014115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-2531.8794400004699</v>
      </c>
      <c r="E29" s="19">
        <v>26961.670479999288</v>
      </c>
      <c r="F29" s="19">
        <v>1164.8876109201426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-7151.9661400000186</v>
      </c>
      <c r="E30" s="19">
        <v>-15260.541530000157</v>
      </c>
      <c r="F30" s="19">
        <v>-113.37547230054584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-9626.4923800004854</v>
      </c>
      <c r="E31" s="19">
        <v>14231.448929999158</v>
      </c>
      <c r="F31" s="19">
        <v>247.83628728118768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2"/>
      <c r="H33" s="302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sqref="A1:XFD2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QUADRO IV - Execução orçamental da receita fiscal do Gov. Reg. (janeiro-setembro)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577439.80505999993</v>
      </c>
      <c r="E5" s="33">
        <v>675958.98413999984</v>
      </c>
      <c r="F5" s="270">
        <v>0.17061376478845802</v>
      </c>
      <c r="G5" s="270">
        <v>0.74291787260168718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159778.65005999999</v>
      </c>
      <c r="E7" s="70">
        <v>216323.43309999999</v>
      </c>
      <c r="F7" s="271">
        <v>0.35389448476856167</v>
      </c>
      <c r="G7" s="271">
        <v>0.70140833405525493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127194.15856</v>
      </c>
      <c r="E8" s="70">
        <v>149906.22352999999</v>
      </c>
      <c r="F8" s="271">
        <v>0.17856217004876251</v>
      </c>
      <c r="G8" s="271">
        <v>0.68427245713389051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32584.4915</v>
      </c>
      <c r="E9" s="70">
        <v>66417.209569999992</v>
      </c>
      <c r="F9" s="271">
        <v>1.0383073822097235</v>
      </c>
      <c r="G9" s="271">
        <v>0.74342826985847266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417661.15499999991</v>
      </c>
      <c r="E11" s="70">
        <v>459635.55103999987</v>
      </c>
      <c r="F11" s="271">
        <v>0.10049868305325149</v>
      </c>
      <c r="G11" s="271">
        <v>0.76420297087528655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37644.327709999998</v>
      </c>
      <c r="E12" s="70">
        <v>31239.610390000002</v>
      </c>
      <c r="F12" s="271">
        <v>-0.17013764648262319</v>
      </c>
      <c r="G12" s="271">
        <v>0.51891327756341332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312665.20331000001</v>
      </c>
      <c r="E13" s="70">
        <v>355347.19957000006</v>
      </c>
      <c r="F13" s="271">
        <v>0.13651022182241968</v>
      </c>
      <c r="G13" s="271">
        <v>0.82020871045063992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4192.58403</v>
      </c>
      <c r="E14" s="70">
        <v>3481.3765699999999</v>
      </c>
      <c r="F14" s="271">
        <v>-0.16963463460981609</v>
      </c>
      <c r="G14" s="271">
        <v>0.51180930968788008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22318.686180000001</v>
      </c>
      <c r="E15" s="70">
        <v>22041.334930000001</v>
      </c>
      <c r="F15" s="271">
        <v>-1.2426862753621037E-2</v>
      </c>
      <c r="G15" s="271">
        <v>0.58381814842958202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4670.3452900000002</v>
      </c>
      <c r="E16" s="70">
        <v>6268.8069400000004</v>
      </c>
      <c r="F16" s="271">
        <v>0.34225770274899747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36170.089650000002</v>
      </c>
      <c r="E17" s="70">
        <v>41257.222640000015</v>
      </c>
      <c r="F17" s="271">
        <v>0.14064474374339886</v>
      </c>
      <c r="G17" s="271">
        <v>0.73682772204644487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19735.314480000001</v>
      </c>
      <c r="E18" s="70">
        <v>22575.36089</v>
      </c>
      <c r="F18" s="271">
        <v>0.14390682311539216</v>
      </c>
      <c r="G18" s="271">
        <v>0.744769505193278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4071.5601499999993</v>
      </c>
      <c r="E19" s="70">
        <v>4761.2656400000005</v>
      </c>
      <c r="F19" s="271">
        <v>0.16939587396246658</v>
      </c>
      <c r="G19" s="271">
        <v>0.78576480884337951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234681.74119</v>
      </c>
      <c r="E21" s="33">
        <v>241245.16302999997</v>
      </c>
      <c r="F21" s="270">
        <v>2.7967330592993056E-2</v>
      </c>
      <c r="G21" s="270">
        <v>0.54084510990284884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812121.5462499999</v>
      </c>
      <c r="E23" s="139">
        <v>917204.14716999978</v>
      </c>
      <c r="F23" s="274">
        <v>0.12939270162849703</v>
      </c>
      <c r="G23" s="274">
        <v>0.67644283697235286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7" sqref="K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QUADRO V - Execução orçamental da receita não fiscal do Gov. Reg. (janeiro-setembro)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577439.80505999993</v>
      </c>
      <c r="E5" s="41">
        <v>675958.98413999984</v>
      </c>
      <c r="F5" s="276">
        <v>0.17061376478845802</v>
      </c>
      <c r="G5" s="42">
        <v>0.74291787260168718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234681.74119</v>
      </c>
      <c r="E7" s="41">
        <v>241245.16302999997</v>
      </c>
      <c r="F7" s="276">
        <v>2.7967330592993056E-2</v>
      </c>
      <c r="G7" s="42">
        <v>0.54084510990284884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170215.71278999999</v>
      </c>
      <c r="E8" s="41">
        <v>164714.53027999998</v>
      </c>
      <c r="F8" s="276">
        <v>-3.2318887720941381E-2</v>
      </c>
      <c r="G8" s="42">
        <v>0.64139401650240258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12304.680120000001</v>
      </c>
      <c r="E10" s="71">
        <v>12273.569699999996</v>
      </c>
      <c r="F10" s="278">
        <v>-2.5283404116648311E-3</v>
      </c>
      <c r="G10" s="43">
        <v>0.57172251396795848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6025.2196699999995</v>
      </c>
      <c r="E11" s="71">
        <v>7817.3142400000015</v>
      </c>
      <c r="F11" s="278">
        <v>0.29743223785233419</v>
      </c>
      <c r="G11" s="43">
        <v>1.1647903037079432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146254.61762999999</v>
      </c>
      <c r="E12" s="71">
        <v>136887.10721999998</v>
      </c>
      <c r="F12" s="278">
        <v>-6.4049330966754692E-2</v>
      </c>
      <c r="G12" s="43">
        <v>0.73232210411965792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3959.9269800000006</v>
      </c>
      <c r="E13" s="47">
        <v>6544.7972099999997</v>
      </c>
      <c r="F13" s="278">
        <v>0.65275704402003853</v>
      </c>
      <c r="G13" s="43">
        <v>0.80245341457266217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1671.2683900000002</v>
      </c>
      <c r="E14" s="71">
        <v>1191.7419100000002</v>
      </c>
      <c r="F14" s="278">
        <v>-0.28692368195870677</v>
      </c>
      <c r="G14" s="43">
        <v>3.5521305938687027E-2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64466.028400000003</v>
      </c>
      <c r="E17" s="41">
        <v>76530.63274999999</v>
      </c>
      <c r="F17" s="276">
        <v>0.18714669802739059</v>
      </c>
      <c r="G17" s="42">
        <v>0.40439947668297493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538.3682</v>
      </c>
      <c r="E18" s="71">
        <v>4182.6777599999996</v>
      </c>
      <c r="F18" s="278">
        <v>6.7691768570283299</v>
      </c>
      <c r="G18" s="43">
        <v>0.15810477979671217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62847.355090000005</v>
      </c>
      <c r="E19" s="44">
        <v>64546.398909999996</v>
      </c>
      <c r="F19" s="278">
        <v>2.7034452246508911E-2</v>
      </c>
      <c r="G19" s="43">
        <v>0.40057325640623426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1080.30511</v>
      </c>
      <c r="E21" s="47">
        <v>7800.1794</v>
      </c>
      <c r="F21" s="278">
        <v>6.2203485180219129</v>
      </c>
      <c r="G21" s="43">
        <v>4.713199010250972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8" t="str">
        <f>+IF(Índice!$D$2=1,"Receita efetiva","Effective revenue")</f>
        <v>Receita efetiva</v>
      </c>
      <c r="D23" s="299">
        <v>812121.5462499999</v>
      </c>
      <c r="E23" s="299">
        <v>917204.14716999978</v>
      </c>
      <c r="F23" s="321">
        <v>0.12939270162849703</v>
      </c>
      <c r="G23" s="321">
        <v>0.67644283697235286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QUADRO VI - Execução orçamental das despesas do Governo Regional (janeiro-setembro)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2021</v>
      </c>
      <c r="E3" s="331">
        <v>2022</v>
      </c>
      <c r="F3" s="153" t="s">
        <v>95</v>
      </c>
      <c r="G3" s="153" t="s">
        <v>96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885030.01154000033</v>
      </c>
      <c r="E5" s="253">
        <v>866758.25310000032</v>
      </c>
      <c r="F5" s="253">
        <v>59.159695196377349</v>
      </c>
      <c r="G5" s="253">
        <v>68.248282604522132</v>
      </c>
      <c r="H5" s="253">
        <v>-2.0645354622727599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277172.79177000019</v>
      </c>
      <c r="E6" s="74">
        <v>293504.33457000018</v>
      </c>
      <c r="F6" s="74">
        <v>67.018550635980162</v>
      </c>
      <c r="G6" s="74">
        <v>70.367381298286347</v>
      </c>
      <c r="H6" s="254">
        <v>5.8921882973102271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224581.45064999946</v>
      </c>
      <c r="E7" s="75">
        <v>237949.94032000014</v>
      </c>
      <c r="F7" s="75">
        <v>68.1444405240116</v>
      </c>
      <c r="G7" s="75">
        <v>71.492190426411867</v>
      </c>
      <c r="H7" s="254">
        <v>5.9526241509744704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4167.3663300000007</v>
      </c>
      <c r="E8" s="75">
        <v>4357.2146799999982</v>
      </c>
      <c r="F8" s="75">
        <v>65.211999862295386</v>
      </c>
      <c r="G8" s="75">
        <v>70.312154447391734</v>
      </c>
      <c r="H8" s="254">
        <v>4.5555954280601352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48423.974789999964</v>
      </c>
      <c r="E9" s="75">
        <v>51197.179570000037</v>
      </c>
      <c r="F9" s="75">
        <v>62.386804897882023</v>
      </c>
      <c r="G9" s="75">
        <v>65.576547102892107</v>
      </c>
      <c r="H9" s="254">
        <v>5.7269251275357247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102916.63967000015</v>
      </c>
      <c r="E10" s="75">
        <v>115974.26031000009</v>
      </c>
      <c r="F10" s="75">
        <v>52.717546707327578</v>
      </c>
      <c r="G10" s="75">
        <v>60.268141601929514</v>
      </c>
      <c r="H10" s="254">
        <v>12.687569941915028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49207.868550000007</v>
      </c>
      <c r="E11" s="75">
        <v>73793.575700000016</v>
      </c>
      <c r="F11" s="75">
        <v>55.927109794422655</v>
      </c>
      <c r="G11" s="75">
        <v>71.952522898958222</v>
      </c>
      <c r="H11" s="254">
        <v>49.962958921942594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438472.21277000004</v>
      </c>
      <c r="E12" s="74">
        <v>364822.30968000001</v>
      </c>
      <c r="F12" s="74">
        <v>57.899115107333735</v>
      </c>
      <c r="G12" s="74">
        <v>70.846935039560847</v>
      </c>
      <c r="H12" s="254">
        <v>-16.796937398774912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371876.76764000003</v>
      </c>
      <c r="E13" s="74">
        <v>306769.07431</v>
      </c>
      <c r="F13" s="74">
        <v>64.697403507858724</v>
      </c>
      <c r="G13" s="74">
        <v>76.724918674829766</v>
      </c>
      <c r="H13" s="254">
        <v>-17.507867927105451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120</v>
      </c>
      <c r="E14" s="75">
        <v>274.87770999999998</v>
      </c>
      <c r="F14" s="74">
        <v>50</v>
      </c>
      <c r="G14" s="74">
        <v>99.99953070260004</v>
      </c>
      <c r="H14" s="254">
        <v>129.06475833333332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371756.76764000003</v>
      </c>
      <c r="E15" s="75">
        <v>306494.19660000002</v>
      </c>
      <c r="F15" s="75">
        <v>64.703542838691789</v>
      </c>
      <c r="G15" s="75">
        <v>76.708906602277153</v>
      </c>
      <c r="H15" s="254">
        <v>-17.555180354698656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110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110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66595.445130000007</v>
      </c>
      <c r="E18" s="75">
        <v>58053.235370000009</v>
      </c>
      <c r="F18" s="72">
        <v>36.48868267744696</v>
      </c>
      <c r="G18" s="72">
        <v>50.430819703683461</v>
      </c>
      <c r="H18" s="77">
        <v>-12.827018039033861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16952.011780000001</v>
      </c>
      <c r="E19" s="72">
        <v>17952.149040000004</v>
      </c>
      <c r="F19" s="72">
        <v>51.818117982057409</v>
      </c>
      <c r="G19" s="72">
        <v>49.667210155487915</v>
      </c>
      <c r="H19" s="77">
        <v>5.8998145646640365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308.48700000000014</v>
      </c>
      <c r="E20" s="72">
        <v>711.62380000000019</v>
      </c>
      <c r="F20" s="72">
        <v>3.3535985465750233</v>
      </c>
      <c r="G20" s="72">
        <v>10.424913831798266</v>
      </c>
      <c r="H20" s="77">
        <v>130.68194121632351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835822.14299000031</v>
      </c>
      <c r="E22" s="78">
        <v>792964.67740000028</v>
      </c>
      <c r="F22" s="78">
        <v>59.361696707372133</v>
      </c>
      <c r="G22" s="78">
        <v>67.922870376365978</v>
      </c>
      <c r="H22" s="76">
        <v>-5.127581980142967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96321.320240000001</v>
      </c>
      <c r="E24" s="78">
        <v>144215.4675900001</v>
      </c>
      <c r="F24" s="78">
        <v>27.648339096444225</v>
      </c>
      <c r="G24" s="78">
        <v>46.206435165685107</v>
      </c>
      <c r="H24" s="76">
        <v>49.72330864097809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56909.6417</v>
      </c>
      <c r="E25" s="72">
        <v>70165.70221000012</v>
      </c>
      <c r="F25" s="72">
        <v>30.572767181572218</v>
      </c>
      <c r="G25" s="72">
        <v>39.450773703091002</v>
      </c>
      <c r="H25" s="77">
        <v>23.293171620864587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39411.678540000008</v>
      </c>
      <c r="E26" s="59">
        <v>74049.765379999983</v>
      </c>
      <c r="F26" s="59">
        <v>24.596135236136472</v>
      </c>
      <c r="G26" s="59">
        <v>55.563811859751652</v>
      </c>
      <c r="H26" s="77">
        <v>87.887875175995916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31730.623420000011</v>
      </c>
      <c r="E27" s="59">
        <v>65579.820329999988</v>
      </c>
      <c r="F27" s="59">
        <v>22.050122592242381</v>
      </c>
      <c r="G27" s="59">
        <v>50.540039161008075</v>
      </c>
      <c r="H27" s="77">
        <v>106.67674713464538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3953.26755</v>
      </c>
      <c r="E28" s="72">
        <v>5164.8169600000001</v>
      </c>
      <c r="F28" s="72">
        <v>52.976536453444176</v>
      </c>
      <c r="G28" s="72">
        <v>86.380035787522004</v>
      </c>
      <c r="H28" s="77">
        <v>30.646785087945794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26108.014540000011</v>
      </c>
      <c r="E29" s="72">
        <v>59915.003369999991</v>
      </c>
      <c r="F29" s="72">
        <v>19.83934888733976</v>
      </c>
      <c r="G29" s="72">
        <v>49.989290761844416</v>
      </c>
      <c r="H29" s="77">
        <v>129.48893060483169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500</v>
      </c>
      <c r="F30" s="72">
        <v>34.470432212960169</v>
      </c>
      <c r="G30" s="72">
        <v>12.744392849478015</v>
      </c>
      <c r="H30" s="77">
        <v>-70.048066802491491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981351.33178000036</v>
      </c>
      <c r="E33" s="142">
        <v>1010973.7206900005</v>
      </c>
      <c r="F33" s="143">
        <v>53.207602981875944</v>
      </c>
      <c r="G33" s="143">
        <v>63.899994375137403</v>
      </c>
      <c r="H33" s="141">
        <v>3.0185304641376747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28166.532009999999</v>
      </c>
      <c r="E36" s="150">
        <v>28795.776950000003</v>
      </c>
      <c r="F36" s="150">
        <v>53.405678737027138</v>
      </c>
      <c r="G36" s="150">
        <v>55.949482468135834</v>
      </c>
      <c r="H36" s="128">
        <v>2.2340163843266274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155969.81319999998</v>
      </c>
      <c r="E37" s="150">
        <v>434873.03993000003</v>
      </c>
      <c r="F37" s="150">
        <v>60.842158688148949</v>
      </c>
      <c r="G37" s="150">
        <v>81.961155258183453</v>
      </c>
      <c r="H37" s="128">
        <v>178.81872203845154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2022-10-26T11:44:50Z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