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Setembro\"/>
    </mc:Choice>
  </mc:AlternateContent>
  <xr:revisionPtr revIDLastSave="0" documentId="13_ncr:1_{B986397F-7CE1-46B8-BDEA-C53B5C8BC952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32" l="1"/>
  <c r="C2" i="8"/>
  <c r="C2" i="60"/>
  <c r="C2" i="9"/>
  <c r="C2" i="50"/>
  <c r="C2" i="10"/>
  <c r="C2" i="11"/>
  <c r="C2" i="12"/>
  <c r="C2" i="39"/>
  <c r="C2" i="13"/>
  <c r="C2" i="51"/>
  <c r="C2" i="61"/>
  <c r="D42" i="38"/>
  <c r="C41" i="38"/>
  <c r="D33" i="38"/>
  <c r="C32" i="38"/>
  <c r="D24" i="38"/>
  <c r="C23" i="38"/>
  <c r="D3" i="38"/>
  <c r="C2" i="38"/>
  <c r="L3" i="12"/>
  <c r="K3" i="12"/>
  <c r="J3" i="12" l="1"/>
  <c r="I3" i="12"/>
  <c r="H3" i="12"/>
  <c r="G3" i="12"/>
  <c r="A15" i="54" l="1"/>
  <c r="E2" i="53"/>
  <c r="D3" i="61" l="1"/>
  <c r="A18" i="54"/>
  <c r="A17" i="54"/>
  <c r="A16" i="54"/>
  <c r="F3" i="50"/>
  <c r="G3" i="50"/>
  <c r="G3" i="9"/>
  <c r="F3" i="9"/>
  <c r="F3" i="11" l="1"/>
  <c r="G3" i="3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<sst xmlns="http://schemas.openxmlformats.org/spreadsheetml/2006/main" count="114" uniqueCount="97">
  <si>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</si>
  <si>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</si>
  <si>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</si>
  <si>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</si>
  <si>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</si>
  <si>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</si>
  <si>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</si>
  <si>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</si>
  <si>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</si>
  <si>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</si>
  <si>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</si>
  <si>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</si>
  <si>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</si>
  <si>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</si>
  <si>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</si>
  <si>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</si>
  <si>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</si>
  <si>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</si>
  <si>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</si>
  <si>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</si>
  <si>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</si>
  <si>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</si>
  <si>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</si>
  <si>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</si>
  <si>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</si>
  <si>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</si>
  <si>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</si>
  <si>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</si>
  <si>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</si>
  <si>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</si>
  <si>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</si>
  <si>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</si>
  <si>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</si>
  <si>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</si>
  <si>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</si>
  <si>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</si>
  <si>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</si>
  <si>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</si>
  <si>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</si>
  <si>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</si>
  <si>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</si>
  <si>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</si>
  <si>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</si>
  <si>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</si>
  <si>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</si>
  <si>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</si>
  <si>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</si>
  <si>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</si>
  <si>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</si>
  <si>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</si>
  <si>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</si>
  <si>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</si>
  <si>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</si>
  <si>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</si>
  <si>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</si>
  <si>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</si>
  <si>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</si>
  <si>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</si>
  <si>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</si>
  <si>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</si>
  <si>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</si>
  <si>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</si>
  <si>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</si>
  <si>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</si>
  <si>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</si>
  <si>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</si>
  <si>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</si>
  <si>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</si>
  <si>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</si>
  <si>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</si>
  <si>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</si>
  <si>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</si>
  <si>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</si>
  <si>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</si>
  <si>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</si>
  <si>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</si>
  <si>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</si>
  <si>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</si>
  <si>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</si>
  <si>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</si>
  <si>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</si>
  <si>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</si>
  <si>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</si>
  <si>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</si>
  <si>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</si>
  <si>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</si>
  <si>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</si>
  <si>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</si>
  <si>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</si>
  <si>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</si>
  <si>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</si>
  <si>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</si>
  <si>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</si>
  <si>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</si>
  <si>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Conservatório -Escola Profissional das Artes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</si>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</sst>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0" fontId="69" fillId="0" borderId="0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10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D42" sqref="D42:F42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topLeftCell="A25" zoomScale="120" zoomScaleNormal="120" zoomScalePageLayoutView="115" workbookViewId="0">
      <selection activeCell="D42" sqref="D42:F4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(janeiro-setembro)","TABLE VIII - Budget execution by organic and economic cross-classification (january-september)")</f>
        <v>QUADRO VIII - Execução orçamental por classificação cruzada orgânica e económica (janeiro-setembro)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v>10911.9</v>
      </c>
      <c r="E4" s="194">
        <v>1710.5380799999998</v>
      </c>
      <c r="F4" s="194">
        <v>320434.47626000002</v>
      </c>
      <c r="G4" s="194">
        <v>151782.48722000001</v>
      </c>
      <c r="H4" s="194">
        <v>326804.72959</v>
      </c>
      <c r="I4" s="194">
        <v>32471.329410000009</v>
      </c>
      <c r="J4" s="194">
        <v>32825.530580000006</v>
      </c>
      <c r="K4" s="194">
        <v>111129.45879</v>
      </c>
      <c r="L4" s="194">
        <v>18232.279590000002</v>
      </c>
      <c r="M4" s="194">
        <v>1006302.7295200003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1357.7881199999997</v>
      </c>
      <c r="F5" s="196">
        <v>256873.17906000005</v>
      </c>
      <c r="G5" s="196">
        <v>23711.19994000001</v>
      </c>
      <c r="H5" s="196">
        <v>3997.8048500000004</v>
      </c>
      <c r="I5" s="196">
        <v>15845.169330000001</v>
      </c>
      <c r="J5" s="196">
        <v>19611.326090000002</v>
      </c>
      <c r="K5" s="196">
        <v>12258.377860000004</v>
      </c>
      <c r="L5" s="196">
        <v>5602.1096600000001</v>
      </c>
      <c r="M5" s="196">
        <v>339256.95491000009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1062.7550799999999</v>
      </c>
      <c r="F6" s="198">
        <v>205761.07367000001</v>
      </c>
      <c r="G6" s="198">
        <v>17657.761330000008</v>
      </c>
      <c r="H6" s="198">
        <v>3146.1434200000003</v>
      </c>
      <c r="I6" s="198">
        <v>12697.155820000002</v>
      </c>
      <c r="J6" s="198">
        <v>15435.071860000004</v>
      </c>
      <c r="K6" s="198">
        <v>9703.9406300000028</v>
      </c>
      <c r="L6" s="198">
        <v>4401.4183199999998</v>
      </c>
      <c r="M6" s="198">
        <v>269865.32013000007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28.471129999999999</v>
      </c>
      <c r="F7" s="198">
        <v>7449.7564999999986</v>
      </c>
      <c r="G7" s="198">
        <v>2060.2346900000002</v>
      </c>
      <c r="H7" s="198">
        <v>150.95389999999998</v>
      </c>
      <c r="I7" s="198">
        <v>463.85392000000002</v>
      </c>
      <c r="J7" s="198">
        <v>866.71181999999988</v>
      </c>
      <c r="K7" s="198">
        <v>502.69670000000002</v>
      </c>
      <c r="L7" s="198">
        <v>285.51830999999999</v>
      </c>
      <c r="M7" s="198">
        <v>11808.196969999999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266.56191000000001</v>
      </c>
      <c r="F8" s="198">
        <v>43662.348890000037</v>
      </c>
      <c r="G8" s="198">
        <v>3993.2039200000008</v>
      </c>
      <c r="H8" s="198">
        <v>700.70753000000013</v>
      </c>
      <c r="I8" s="198">
        <v>2684.1595899999998</v>
      </c>
      <c r="J8" s="198">
        <v>3309.54241</v>
      </c>
      <c r="K8" s="198">
        <v>2051.7405300000005</v>
      </c>
      <c r="L8" s="198">
        <v>915.17303000000004</v>
      </c>
      <c r="M8" s="198">
        <v>57583.437810000039</v>
      </c>
    </row>
    <row r="9" spans="2:15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332.24995999999999</v>
      </c>
      <c r="F9" s="196">
        <v>14008.18677</v>
      </c>
      <c r="G9" s="196">
        <v>27154.164619999989</v>
      </c>
      <c r="H9" s="196">
        <v>361.92610000000002</v>
      </c>
      <c r="I9" s="196">
        <v>5682.8596800000032</v>
      </c>
      <c r="J9" s="196">
        <v>1849.3137900000011</v>
      </c>
      <c r="K9" s="196">
        <v>73068.156170000002</v>
      </c>
      <c r="L9" s="196">
        <v>448.26254999999998</v>
      </c>
      <c r="M9" s="196">
        <v>122905.11963999999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50.878190000000004</v>
      </c>
      <c r="F10" s="198">
        <v>7953.8331700000008</v>
      </c>
      <c r="G10" s="198">
        <v>343.88751000000002</v>
      </c>
      <c r="H10" s="198">
        <v>35.039550000000006</v>
      </c>
      <c r="I10" s="198">
        <v>1499.2001600000003</v>
      </c>
      <c r="J10" s="198">
        <v>276.45951000000002</v>
      </c>
      <c r="K10" s="198">
        <v>1250.4697999999999</v>
      </c>
      <c r="L10" s="198">
        <v>48.37191</v>
      </c>
      <c r="M10" s="198">
        <v>11458.139800000003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281.37176999999997</v>
      </c>
      <c r="F11" s="198">
        <v>6054.3536000000004</v>
      </c>
      <c r="G11" s="198">
        <v>26810.277109999988</v>
      </c>
      <c r="H11" s="198">
        <v>326.88655</v>
      </c>
      <c r="I11" s="198">
        <v>4183.6595200000029</v>
      </c>
      <c r="J11" s="198">
        <v>1572.8542800000009</v>
      </c>
      <c r="K11" s="198">
        <v>71817.686369999996</v>
      </c>
      <c r="L11" s="198">
        <v>399.89063999999996</v>
      </c>
      <c r="M11" s="198">
        <v>111446.97983999999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14.482829999999998</v>
      </c>
      <c r="G12" s="198">
        <v>92178.446370000005</v>
      </c>
      <c r="H12" s="198">
        <v>8.9650000000000007E-2</v>
      </c>
      <c r="I12" s="198">
        <v>3.7580000000000002E-2</v>
      </c>
      <c r="J12" s="198">
        <v>1.01E-3</v>
      </c>
      <c r="K12" s="198">
        <v>0</v>
      </c>
      <c r="L12" s="198">
        <v>0</v>
      </c>
      <c r="M12" s="198">
        <v>92193.057440000004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v>10911.9</v>
      </c>
      <c r="E13" s="196">
        <v>20.5</v>
      </c>
      <c r="F13" s="196">
        <v>49502.503180000007</v>
      </c>
      <c r="G13" s="196">
        <v>8213.6228600000013</v>
      </c>
      <c r="H13" s="196">
        <v>322444.85412000003</v>
      </c>
      <c r="I13" s="196">
        <v>10908.089600000003</v>
      </c>
      <c r="J13" s="196">
        <v>10046.058550000002</v>
      </c>
      <c r="K13" s="196">
        <v>4522.6651400000001</v>
      </c>
      <c r="L13" s="196">
        <v>12181.907380000001</v>
      </c>
      <c r="M13" s="196">
        <v>428752.10083000007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v>10911.9</v>
      </c>
      <c r="E14" s="200">
        <v>0</v>
      </c>
      <c r="F14" s="200">
        <v>15897.466969999999</v>
      </c>
      <c r="G14" s="200">
        <v>8063.111490000002</v>
      </c>
      <c r="H14" s="200">
        <v>322079.30553000001</v>
      </c>
      <c r="I14" s="200">
        <v>0</v>
      </c>
      <c r="J14" s="200">
        <v>9744.8099800000018</v>
      </c>
      <c r="K14" s="200">
        <v>4499.1060600000001</v>
      </c>
      <c r="L14" s="200">
        <v>3753.6790399999995</v>
      </c>
      <c r="M14" s="200">
        <v>374949.37907000008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117.78400000000001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117.78400000000001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v>10911.9</v>
      </c>
      <c r="E16" s="198">
        <v>0</v>
      </c>
      <c r="F16" s="198">
        <v>15779.68297</v>
      </c>
      <c r="G16" s="198">
        <v>8063.111490000002</v>
      </c>
      <c r="H16" s="198">
        <v>322079.30553000001</v>
      </c>
      <c r="I16" s="198">
        <v>0</v>
      </c>
      <c r="J16" s="198">
        <v>9744.8099800000018</v>
      </c>
      <c r="K16" s="198">
        <v>4499.1060600000001</v>
      </c>
      <c r="L16" s="198">
        <v>3753.6790399999995</v>
      </c>
      <c r="M16" s="198">
        <v>374831.5950700001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20.5</v>
      </c>
      <c r="F19" s="200">
        <v>33605.036210000006</v>
      </c>
      <c r="G19" s="200">
        <v>150.51137</v>
      </c>
      <c r="H19" s="200">
        <v>365.54858999999999</v>
      </c>
      <c r="I19" s="200">
        <v>10908.089600000003</v>
      </c>
      <c r="J19" s="200">
        <v>301.24856999999997</v>
      </c>
      <c r="K19" s="200">
        <v>23.559079999999998</v>
      </c>
      <c r="L19" s="200">
        <v>8428.2283400000015</v>
      </c>
      <c r="M19" s="200">
        <v>53802.721760000015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10390.086530000004</v>
      </c>
      <c r="G20" s="198">
        <v>0</v>
      </c>
      <c r="H20" s="198">
        <v>0</v>
      </c>
      <c r="I20" s="198">
        <v>329.125</v>
      </c>
      <c r="J20" s="198">
        <v>2.3198000000000003</v>
      </c>
      <c r="K20" s="198">
        <v>2.2224200000000001</v>
      </c>
      <c r="L20" s="198">
        <v>0</v>
      </c>
      <c r="M20" s="198">
        <v>10723.753750000003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20.5</v>
      </c>
      <c r="F22" s="198">
        <v>19136.26426</v>
      </c>
      <c r="G22" s="198">
        <v>34.362970000000004</v>
      </c>
      <c r="H22" s="198">
        <v>348.5</v>
      </c>
      <c r="I22" s="198">
        <v>10337.730400000002</v>
      </c>
      <c r="J22" s="198">
        <v>218.64000000000001</v>
      </c>
      <c r="K22" s="198">
        <v>0</v>
      </c>
      <c r="L22" s="198">
        <v>6013.301300000001</v>
      </c>
      <c r="M22" s="198">
        <v>36109.298929999997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4078.6854200000002</v>
      </c>
      <c r="G23" s="198">
        <v>96.664399999999986</v>
      </c>
      <c r="H23" s="198">
        <v>17.048590000000001</v>
      </c>
      <c r="I23" s="198">
        <v>211.95577000000003</v>
      </c>
      <c r="J23" s="198">
        <v>80.28877</v>
      </c>
      <c r="K23" s="198">
        <v>21.336659999999998</v>
      </c>
      <c r="L23" s="198">
        <v>2414.9270400000005</v>
      </c>
      <c r="M23" s="198">
        <v>6920.9066500000008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19.484000000000002</v>
      </c>
      <c r="H24" s="198">
        <v>0</v>
      </c>
      <c r="I24" s="198">
        <v>29.27843</v>
      </c>
      <c r="J24" s="198">
        <v>0</v>
      </c>
      <c r="K24" s="198">
        <v>0</v>
      </c>
      <c r="L24" s="198">
        <v>0</v>
      </c>
      <c r="M24" s="198">
        <v>48.762430000000002</v>
      </c>
    </row>
    <row r="25" spans="2:13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1279.7869500000002</v>
      </c>
      <c r="K25" s="198">
        <v>21257.517329999995</v>
      </c>
      <c r="L25" s="198">
        <v>0</v>
      </c>
      <c r="M25" s="198">
        <v>22537.304279999997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36.124420000000001</v>
      </c>
      <c r="G26" s="198">
        <v>525.05343000000005</v>
      </c>
      <c r="H26" s="198">
        <v>5.4869999999999995E-2</v>
      </c>
      <c r="I26" s="198">
        <v>35.173220000000001</v>
      </c>
      <c r="J26" s="198">
        <v>39.04419</v>
      </c>
      <c r="K26" s="198">
        <v>22.742290000000001</v>
      </c>
      <c r="L26" s="198">
        <v>0</v>
      </c>
      <c r="M26" s="198">
        <v>658.19242000000008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v>10</v>
      </c>
      <c r="E27" s="32">
        <v>0</v>
      </c>
      <c r="F27" s="32">
        <v>5649.8338999999996</v>
      </c>
      <c r="G27" s="32">
        <v>10040.587749999999</v>
      </c>
      <c r="H27" s="32">
        <v>374.40779999999995</v>
      </c>
      <c r="I27" s="32">
        <v>405.2934600000001</v>
      </c>
      <c r="J27" s="32">
        <v>8782.4671199999993</v>
      </c>
      <c r="K27" s="32">
        <v>63685.451479999996</v>
      </c>
      <c r="L27" s="32">
        <v>1691.5015500000002</v>
      </c>
      <c r="M27" s="32">
        <v>90639.543059999996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2073.080449999999</v>
      </c>
      <c r="G28" s="198">
        <v>7026.2003299999988</v>
      </c>
      <c r="H28" s="198">
        <v>12.517569999999999</v>
      </c>
      <c r="I28" s="198">
        <v>297.55784000000006</v>
      </c>
      <c r="J28" s="198">
        <v>1786.8201800000004</v>
      </c>
      <c r="K28" s="198">
        <v>55066.360999999997</v>
      </c>
      <c r="L28" s="198">
        <v>48.070389999999996</v>
      </c>
      <c r="M28" s="198">
        <v>66310.607759999984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v>10</v>
      </c>
      <c r="E29" s="196">
        <v>0</v>
      </c>
      <c r="F29" s="196">
        <v>3576.7534500000002</v>
      </c>
      <c r="G29" s="196">
        <v>3014.38742</v>
      </c>
      <c r="H29" s="196">
        <v>361.89022999999997</v>
      </c>
      <c r="I29" s="196">
        <v>107.73562000000001</v>
      </c>
      <c r="J29" s="196">
        <v>6995.6469399999996</v>
      </c>
      <c r="K29" s="196">
        <v>8619.0904799999989</v>
      </c>
      <c r="L29" s="196">
        <v>1643.4311600000001</v>
      </c>
      <c r="M29" s="196">
        <v>24328.935299999997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v>10</v>
      </c>
      <c r="E30" s="200">
        <v>0</v>
      </c>
      <c r="F30" s="200">
        <v>1867.4042499999998</v>
      </c>
      <c r="G30" s="200">
        <v>2985.7713800000001</v>
      </c>
      <c r="H30" s="200">
        <v>361.89022999999997</v>
      </c>
      <c r="I30" s="200">
        <v>0</v>
      </c>
      <c r="J30" s="200">
        <v>6573.14725</v>
      </c>
      <c r="K30" s="200">
        <v>8619.0904799999989</v>
      </c>
      <c r="L30" s="200">
        <v>0</v>
      </c>
      <c r="M30" s="200">
        <v>20417.30359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6449.30825</v>
      </c>
      <c r="K31" s="198">
        <v>0</v>
      </c>
      <c r="L31" s="198">
        <v>0</v>
      </c>
      <c r="M31" s="198">
        <v>6449.30825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v>10</v>
      </c>
      <c r="E32" s="198">
        <v>0</v>
      </c>
      <c r="F32" s="198">
        <v>1867.4042499999998</v>
      </c>
      <c r="G32" s="198">
        <v>1838.3230299999998</v>
      </c>
      <c r="H32" s="198">
        <v>361.89022999999997</v>
      </c>
      <c r="I32" s="198">
        <v>0</v>
      </c>
      <c r="J32" s="198">
        <v>123.83900000000001</v>
      </c>
      <c r="K32" s="198">
        <v>8619.0904799999989</v>
      </c>
      <c r="L32" s="198">
        <v>0</v>
      </c>
      <c r="M32" s="198">
        <v>12820.546989999999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1147.4483500000001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1147.4483500000001</v>
      </c>
    </row>
    <row r="34" spans="1:168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1709.3492000000001</v>
      </c>
      <c r="G35" s="200">
        <v>28.616039999999998</v>
      </c>
      <c r="H35" s="200">
        <v>0</v>
      </c>
      <c r="I35" s="200">
        <v>107.73562000000001</v>
      </c>
      <c r="J35" s="200">
        <v>422.49968999999999</v>
      </c>
      <c r="K35" s="200">
        <v>0</v>
      </c>
      <c r="L35" s="200">
        <v>1643.4311600000001</v>
      </c>
      <c r="M35" s="200">
        <v>3911.6317100000001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10921.9</v>
      </c>
      <c r="E38" s="204">
        <v>1710.5380799999998</v>
      </c>
      <c r="F38" s="204">
        <v>326084.31016000005</v>
      </c>
      <c r="G38" s="204">
        <v>161823.07497000002</v>
      </c>
      <c r="H38" s="204">
        <v>327179.13738999999</v>
      </c>
      <c r="I38" s="204">
        <v>32876.622870000007</v>
      </c>
      <c r="J38" s="204">
        <v>41607.997700000007</v>
      </c>
      <c r="K38" s="204">
        <v>174814.91026999999</v>
      </c>
      <c r="L38" s="204">
        <v>19923.781140000003</v>
      </c>
      <c r="M38" s="204">
        <v>1096942.2725800001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141.374</v>
      </c>
      <c r="K40" s="208">
        <v>10367.022750000002</v>
      </c>
      <c r="L40" s="208">
        <v>0</v>
      </c>
      <c r="M40" s="208">
        <v>10508.396750000002</v>
      </c>
    </row>
    <row r="41" spans="1:168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184842.05689000001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184842.05689000001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120589.5251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5" t="str">
        <f>+IF(Índice!$D$2=1,"Fonte: Secretaria Regional das Finanças","Source: Regional Finance Secretariat")</f>
        <v>Fonte: Secretaria Regional das Finanças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D42" sqref="D42:F4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(janeiro-setembro)","TABLE IX - RPEs global balance (january-september)")</f>
        <v>QUADRO IX - Saldo Global do Subsetor - EPR (janeiro-setembro)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6893.4343899998348</v>
      </c>
      <c r="E5" s="82">
        <v>20836.809869999764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D42" sqref="D42:F4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(janeiro-setembro)","TABLE X - ASFs and RPEs budget execution (january-september)")</f>
        <v>QUADRO X - Execução orçamental dos Serviços e Fundos Autónomos e EPR (janeiro-setembro)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15402.92952000018</v>
      </c>
      <c r="E4" s="98">
        <v>20836.809869999764</v>
      </c>
      <c r="F4" s="98">
        <v>36239.739389999944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423701.79688999994</v>
      </c>
      <c r="E7" s="74">
        <v>308805.16821000021</v>
      </c>
      <c r="F7" s="74">
        <v>732506.96510000015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15421.805400000179</v>
      </c>
      <c r="E8" s="74">
        <v>22077.882299999765</v>
      </c>
      <c r="F8" s="74">
        <v>37499.687699999944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13026.989210000145</v>
      </c>
      <c r="E9" s="74">
        <v>19968.66741999978</v>
      </c>
      <c r="F9" s="74">
        <v>32995.656629999867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2375.9403100000013</v>
      </c>
      <c r="E10" s="74">
        <v>868.1424499999921</v>
      </c>
      <c r="F10" s="74">
        <v>3244.0827599999939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topLeftCell="A11" zoomScale="120" zoomScaleNormal="120" zoomScalePageLayoutView="115" workbookViewId="0">
      <selection activeCell="D42" sqref="D42:F4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(janeiro-setembro)","TABLE XI - ASFs and RPEs budget execution (january-september)")</f>
        <v>QUADRO XI - Execução orçamental dos Serviços e Fundos Autónomos e EPR (janeiro-setembro)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432820.13389000011</v>
      </c>
      <c r="E4" s="108">
        <v>306067.34816999995</v>
      </c>
      <c r="F4" s="108">
        <v>738887.48206000007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3279.7202599999996</v>
      </c>
      <c r="E8" s="74">
        <v>6644.20111</v>
      </c>
      <c r="F8" s="74">
        <v>9923.92137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424549.82530000014</v>
      </c>
      <c r="E9" s="74">
        <v>270321.17962999991</v>
      </c>
      <c r="F9" s="74">
        <v>694871.00493000005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28896.477049999998</v>
      </c>
      <c r="E10" s="74">
        <v>3550.4292599999999</v>
      </c>
      <c r="F10" s="74">
        <v>32446.906309999998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394330.17059000017</v>
      </c>
      <c r="E11" s="74">
        <v>266760.45971999993</v>
      </c>
      <c r="F11" s="74">
        <v>661090.63031000015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4291.3361999999988</v>
      </c>
      <c r="E12" s="74">
        <v>13003.036030000003</v>
      </c>
      <c r="F12" s="74">
        <v>17294.372230000001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699.25212999999997</v>
      </c>
      <c r="E13" s="74">
        <v>16098.931400000003</v>
      </c>
      <c r="F13" s="74">
        <v>16798.183530000002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6303.4684000000007</v>
      </c>
      <c r="E14" s="83">
        <v>24815.702340000007</v>
      </c>
      <c r="F14" s="83">
        <v>31119.170740000009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236.07902999999999</v>
      </c>
      <c r="F15" s="34">
        <v>236.07902999999999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6264.2539500000003</v>
      </c>
      <c r="E16" s="34">
        <v>23865.270000000004</v>
      </c>
      <c r="F16" s="74">
        <v>30129.523950000003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4305.1201100000008</v>
      </c>
      <c r="E17" s="34">
        <v>11827.957760000001</v>
      </c>
      <c r="F17" s="74">
        <v>16133.077870000001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1959.1338399999995</v>
      </c>
      <c r="E18" s="74">
        <v>12037.312240000003</v>
      </c>
      <c r="F18" s="74">
        <v>13996.446080000002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623.16845999999998</v>
      </c>
      <c r="F19" s="74">
        <v>623.16845999999998</v>
      </c>
    </row>
    <row r="20" spans="2:6" ht="11.25" customHeight="1">
      <c r="C20" s="110" t="str">
        <f>+IF(Índice!$D$2=1,"Receita efetiva","Effective revenue")</f>
        <v>Receita efetiva</v>
      </c>
      <c r="D20" s="83">
        <v>439123.60229000013</v>
      </c>
      <c r="E20" s="83">
        <v>330883.05050999997</v>
      </c>
      <c r="F20" s="83">
        <v>770006.65280000004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419793.14467999997</v>
      </c>
      <c r="E22" s="83">
        <v>286098.68075000017</v>
      </c>
      <c r="F22" s="83">
        <v>705891.8254300002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41912.74325</v>
      </c>
      <c r="E23" s="74">
        <v>191471.04521000004</v>
      </c>
      <c r="F23" s="74">
        <v>233383.78846000004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84387.309300000008</v>
      </c>
      <c r="E24" s="74">
        <v>82425.505480000109</v>
      </c>
      <c r="F24" s="74">
        <v>166812.81478000013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18.875880000000002</v>
      </c>
      <c r="E25" s="74">
        <v>1241.0724299999999</v>
      </c>
      <c r="F25" s="74">
        <v>1259.94831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288939.10836999991</v>
      </c>
      <c r="E26" s="74">
        <v>9783.2887200000041</v>
      </c>
      <c r="F26" s="74">
        <v>298722.39708999993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1861.5148200000001</v>
      </c>
      <c r="E27" s="74">
        <v>0</v>
      </c>
      <c r="F27" s="59">
        <v>1861.5148200000001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287077.59354999993</v>
      </c>
      <c r="E28" s="74">
        <v>9783.2887200000041</v>
      </c>
      <c r="F28" s="59">
        <v>296860.88226999994</v>
      </c>
    </row>
    <row r="29" spans="2:6" ht="11.25" customHeight="1">
      <c r="C29" s="104" t="str">
        <f>+IF(Índice!$D$2=1,"Subsídios","Subsidies")</f>
        <v>Subsídios</v>
      </c>
      <c r="D29" s="74">
        <v>4391.2232400000003</v>
      </c>
      <c r="E29" s="74">
        <v>0</v>
      </c>
      <c r="F29" s="74">
        <v>4391.2232400000003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143.88463999999999</v>
      </c>
      <c r="E30" s="74">
        <v>1177.7689100000005</v>
      </c>
      <c r="F30" s="74">
        <v>1321.6535500000005</v>
      </c>
    </row>
    <row r="31" spans="2:6" ht="11.25" customHeight="1">
      <c r="C31" s="110" t="str">
        <f>+IF(Índice!$D$2=1,"Despesa de capital","Capital expenditure")</f>
        <v>Despesa de capital</v>
      </c>
      <c r="D31" s="83">
        <v>3927.5280899999993</v>
      </c>
      <c r="E31" s="83">
        <v>23947.559890000015</v>
      </c>
      <c r="F31" s="83">
        <v>27875.087980000015</v>
      </c>
    </row>
    <row r="32" spans="2:6" ht="11.25" customHeight="1">
      <c r="C32" s="104" t="str">
        <f>+IF(Índice!$D$2=1,"Investimento","Investment")</f>
        <v>Investimento</v>
      </c>
      <c r="D32" s="74">
        <v>1381.0338999999999</v>
      </c>
      <c r="E32" s="74">
        <v>23693.994600000016</v>
      </c>
      <c r="F32" s="74">
        <v>25075.028500000015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2546.4941899999994</v>
      </c>
      <c r="E33" s="74">
        <v>253.56529</v>
      </c>
      <c r="F33" s="74">
        <v>2800.0594799999994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423720.67276999995</v>
      </c>
      <c r="E36" s="83">
        <v>310046.24064000021</v>
      </c>
      <c r="F36" s="83">
        <v>733766.91341000015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4481.7454100000004</v>
      </c>
      <c r="E38" s="35">
        <v>564.20310000000006</v>
      </c>
      <c r="F38" s="35">
        <v>5045.9485100000002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9233.1060600000001</v>
      </c>
      <c r="F39" s="35">
        <v>9233.1060600000001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15402.92952000018</v>
      </c>
      <c r="E44" s="114">
        <v>20836.809869999764</v>
      </c>
      <c r="F44" s="114">
        <v>36239.739389999944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topLeftCell="A13" zoomScale="120" zoomScaleNormal="120" zoomScalePageLayoutView="115" workbookViewId="0">
      <selection activeCell="D42" sqref="D42:F4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(setembro)","TABLE XII - ASFs and RPEs budget execution (september)")</f>
        <v>QUADRO XII - Execução orçamental dos Serviços e Fundos Autónomos e EPR (setembro)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2024","may 2024")</f>
        <v>maio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56942.07970000006</v>
      </c>
      <c r="E5" s="317">
        <v>37002.545599999969</v>
      </c>
      <c r="F5" s="317">
        <v>93944.625300000029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56942.07970000006</v>
      </c>
      <c r="E9" s="74">
        <v>37002.545599999969</v>
      </c>
      <c r="F9" s="74">
        <v>93944.625300000029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55971.850810000062</v>
      </c>
      <c r="E10" s="74">
        <v>34264.484949999962</v>
      </c>
      <c r="F10" s="74">
        <v>90236.335760000016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218.28121999999945</v>
      </c>
      <c r="E11" s="83">
        <v>2223.8340799999946</v>
      </c>
      <c r="F11" s="83">
        <v>2442.115299999994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217.40414999999945</v>
      </c>
      <c r="E13" s="34">
        <v>2203.0247199999949</v>
      </c>
      <c r="F13" s="74">
        <v>2420.4288699999943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57160.360920000057</v>
      </c>
      <c r="E15" s="83">
        <v>39226.379679999962</v>
      </c>
      <c r="F15" s="83">
        <v>96386.740600000019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52331.609270000001</v>
      </c>
      <c r="E17" s="83">
        <v>40703.857290000109</v>
      </c>
      <c r="F17" s="83">
        <v>93035.466560000117</v>
      </c>
    </row>
    <row r="18" spans="3:6" ht="11.25" customHeight="1">
      <c r="C18" s="104" t="str">
        <f>+IF(Índice!$D$2=1,"Consumo público","Public consumption")</f>
        <v>Consumo público</v>
      </c>
      <c r="D18" s="74">
        <v>13524.184130000065</v>
      </c>
      <c r="E18" s="74">
        <v>39403.262860000104</v>
      </c>
      <c r="F18" s="74">
        <v>52927.446990000171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5292.3605799999905</v>
      </c>
      <c r="E19" s="74">
        <v>23847.764629999994</v>
      </c>
      <c r="F19" s="74">
        <v>29140.125209999984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8231.8235500000756</v>
      </c>
      <c r="E20" s="74">
        <v>15555.49823000011</v>
      </c>
      <c r="F20" s="74">
        <v>23787.321780000188</v>
      </c>
    </row>
    <row r="21" spans="3:6" ht="11.25" customHeight="1">
      <c r="C21" s="104" t="str">
        <f>+IF(Índice!$D$2=1,"Subsídios","Subsidies")</f>
        <v>Subsídios</v>
      </c>
      <c r="D21" s="74">
        <v>374.74608000000052</v>
      </c>
      <c r="E21" s="74">
        <v>0</v>
      </c>
      <c r="F21" s="74">
        <v>374.74608000000052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1.8819300000000003</v>
      </c>
      <c r="E22" s="74">
        <v>205.19238999999979</v>
      </c>
      <c r="F22" s="59">
        <v>207.0743199999998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38430.797129999934</v>
      </c>
      <c r="E23" s="74">
        <v>1095.4020400000047</v>
      </c>
      <c r="F23" s="59">
        <v>39526.199169999942</v>
      </c>
    </row>
    <row r="24" spans="3:6" ht="11.25" customHeight="1">
      <c r="C24" s="110" t="str">
        <f>+IF(Índice!$D$2=1,"Despesa de capital","Capital expenditure")</f>
        <v>Despesa de capital</v>
      </c>
      <c r="D24" s="83">
        <v>466.22222999999929</v>
      </c>
      <c r="E24" s="83">
        <v>6577.5332500000122</v>
      </c>
      <c r="F24" s="83">
        <v>7043.7554800000116</v>
      </c>
    </row>
    <row r="25" spans="3:6" ht="11.25" customHeight="1">
      <c r="C25" s="104" t="str">
        <f>+IF(Índice!$D$2=1,"Investimento","Investment")</f>
        <v>Investimento</v>
      </c>
      <c r="D25" s="74">
        <v>188.64407999999983</v>
      </c>
      <c r="E25" s="74">
        <v>6432.1679600000125</v>
      </c>
      <c r="F25" s="74">
        <v>6620.8120400000125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277.57814999999943</v>
      </c>
      <c r="E26" s="74">
        <v>145.36529000000002</v>
      </c>
      <c r="F26" s="74">
        <v>422.94343999999944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52797.8315</v>
      </c>
      <c r="E29" s="83">
        <v>47281.390540000124</v>
      </c>
      <c r="F29" s="83">
        <v>100079.22204000012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4362.5294200000571</v>
      </c>
      <c r="E31" s="319">
        <v>-8055.0108600001622</v>
      </c>
      <c r="F31" s="319">
        <v>-3692.4814400001051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33" zoomScale="120" zoomScaleNormal="120" zoomScaleSheetLayoutView="100" zoomScalePageLayoutView="150" workbookViewId="0">
      <selection activeCell="D42" sqref="D42:F4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setembro de 2024 (valores acumulados)","Table XIII- Accounts payable of the Regional Administration, september (accumulated)")</f>
        <v>QUADRO XIII - Contas a pagar, da Administração Regional, no final de setembro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8" t="s">
        <v>7</v>
      </c>
      <c r="D3" s="339" t="str">
        <f>+IF(Índice!$D$2=1,"setembro 2024","september 2024")</f>
        <v>setembro 2024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Variação face ao stock inicial de janeiro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Stock final do período</v>
      </c>
      <c r="E4" s="342"/>
      <c r="F4" s="342"/>
      <c r="G4" s="343" t="str">
        <f>+IF(Índice!$D$2=1,"Passivo","Liabilities")</f>
        <v>Passivo</v>
      </c>
      <c r="H4" s="343" t="str">
        <f>+IF(Índice!$D$2=1,"Contas a pagar","Accounts payable")</f>
        <v>Contas a pagar</v>
      </c>
      <c r="I4" s="345" t="str">
        <f>+IF(Índice!$D$2=1,"Pagamentos em atraso","Late payments")</f>
        <v>Pagamentos em atraso</v>
      </c>
    </row>
    <row r="5" spans="2:11" ht="22.5">
      <c r="B5" s="29"/>
      <c r="C5" s="338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4"/>
      <c r="H5" s="344"/>
      <c r="I5" s="346"/>
    </row>
    <row r="6" spans="2:11">
      <c r="B6" s="29"/>
      <c r="C6" s="119" t="str">
        <f>+IF(Índice!$D$2=1,"Despesa corrente","Current expenditure")</f>
        <v>Despesa corrente</v>
      </c>
      <c r="D6" s="162">
        <v>152813554.86000001</v>
      </c>
      <c r="E6" s="162">
        <v>135663553.97</v>
      </c>
      <c r="F6" s="162">
        <v>45682241.700000003</v>
      </c>
      <c r="G6" s="91">
        <v>-9.1273048067740503E-2</v>
      </c>
      <c r="H6" s="91">
        <v>-0.14451618402542654</v>
      </c>
      <c r="I6" s="116">
        <v>0.22344696585175017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5907133.1099999994</v>
      </c>
      <c r="E7" s="165">
        <v>5188387.0100000007</v>
      </c>
      <c r="F7" s="165">
        <v>41881.960000000006</v>
      </c>
      <c r="G7" s="95">
        <v>3.6209060756646112</v>
      </c>
      <c r="H7" s="95">
        <v>6.1813736840695652</v>
      </c>
      <c r="I7" s="121">
        <v>76.424409361481864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124291468.28</v>
      </c>
      <c r="E8" s="165">
        <v>122064192.98999999</v>
      </c>
      <c r="F8" s="165">
        <v>44517936.899999999</v>
      </c>
      <c r="G8" s="95">
        <v>0.22690692292220538</v>
      </c>
      <c r="H8" s="95">
        <v>0.21252645999013797</v>
      </c>
      <c r="I8" s="121">
        <v>0.24500952857750868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10144950.709999999</v>
      </c>
      <c r="E9" s="165">
        <v>4921010.0599999996</v>
      </c>
      <c r="F9" s="165">
        <v>1034404.81</v>
      </c>
      <c r="G9" s="95">
        <v>-3.6126858201817491E-2</v>
      </c>
      <c r="H9" s="95">
        <v>-7.804888339320637E-2</v>
      </c>
      <c r="I9" s="121">
        <v>2.213307086477196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10634848.41</v>
      </c>
      <c r="E10" s="165">
        <v>1660143.09</v>
      </c>
      <c r="F10" s="165">
        <v>85278.38</v>
      </c>
      <c r="G10" s="95">
        <v>-0.80006418315083638</v>
      </c>
      <c r="H10" s="95">
        <v>-0.96679425253421025</v>
      </c>
      <c r="I10" s="121">
        <v>-0.93227275762161765</v>
      </c>
    </row>
    <row r="11" spans="2:11">
      <c r="B11" s="29"/>
      <c r="C11" s="120" t="str">
        <f>+IF(Índice!$D$2=1,"Subsídios","Subsidies")</f>
        <v>Subsídios</v>
      </c>
      <c r="D11" s="165">
        <v>1691741.67</v>
      </c>
      <c r="E11" s="165">
        <v>1691741.67</v>
      </c>
      <c r="F11" s="165">
        <v>0</v>
      </c>
      <c r="G11" s="95">
        <v>-8.539626935099276E-2</v>
      </c>
      <c r="H11" s="95">
        <v>-8.539626935099276E-2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143412.68</v>
      </c>
      <c r="E12" s="165">
        <v>138079.15</v>
      </c>
      <c r="F12" s="165">
        <v>2739.65</v>
      </c>
      <c r="G12" s="95">
        <v>10.06898750102267</v>
      </c>
      <c r="H12" s="95">
        <v>20.749132108519511</v>
      </c>
      <c r="I12" s="121">
        <v>9.5371153846153849</v>
      </c>
    </row>
    <row r="13" spans="2:11">
      <c r="B13" s="29"/>
      <c r="C13" s="115" t="str">
        <f>+IF(Índice!$D$2=1,"Despesa de capital","Capital expenditure")</f>
        <v>Despesa de capital</v>
      </c>
      <c r="D13" s="163">
        <v>48298398.459999993</v>
      </c>
      <c r="E13" s="163">
        <v>30192273.969999995</v>
      </c>
      <c r="F13" s="163">
        <v>139007.59000000003</v>
      </c>
      <c r="G13" s="92">
        <v>3.5598805267187839E-2</v>
      </c>
      <c r="H13" s="92">
        <v>-4.0754991397086271E-2</v>
      </c>
      <c r="I13" s="117">
        <v>-0.51798801707352715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29752001.790000003</v>
      </c>
      <c r="E14" s="165">
        <v>17649810.84</v>
      </c>
      <c r="F14" s="165">
        <v>139007.59000000003</v>
      </c>
      <c r="G14" s="95">
        <v>0.20177981875855133</v>
      </c>
      <c r="H14" s="95">
        <v>0.11835323495291838</v>
      </c>
      <c r="I14" s="121">
        <v>-0.51798801707352715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18546396.670000002</v>
      </c>
      <c r="E15" s="165">
        <v>12542463.129999999</v>
      </c>
      <c r="F15" s="165">
        <v>0</v>
      </c>
      <c r="G15" s="95">
        <v>-0.15241736217809887</v>
      </c>
      <c r="H15" s="95">
        <v>-0.2007644486696063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201111953.31999999</v>
      </c>
      <c r="E17" s="164">
        <v>165855827.94</v>
      </c>
      <c r="F17" s="164">
        <v>45821249.290000007</v>
      </c>
      <c r="G17" s="147">
        <v>-6.3726229661057454E-2</v>
      </c>
      <c r="H17" s="147">
        <v>-0.12733237819330379</v>
      </c>
      <c r="I17" s="148">
        <v>0.21776432676548141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115269483.77999997</v>
      </c>
      <c r="E19" s="164">
        <v>80025842.339999974</v>
      </c>
      <c r="F19" s="164">
        <v>2152655.5600000005</v>
      </c>
      <c r="G19" s="147">
        <v>-0.17128399377070425</v>
      </c>
      <c r="H19" s="147">
        <v>-0.3002428733967224</v>
      </c>
      <c r="I19" s="148">
        <v>-0.49124026551212485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setembro de 2024 (valores acumulados)","Table XIV - Accounts payable of the Regional Gov., september (accumulated)")</f>
        <v>QUADRO XIV - Contas a pagar, do Governo Regional, no final de setembro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8" t="str">
        <f>+IF(Índice!$D$2=1,"Governo Regional","Regional Government")</f>
        <v>Governo Regional</v>
      </c>
      <c r="D24" s="339" t="str">
        <f>+IF(Índice!$D$2=1,"setembro 2024","september 2024")</f>
        <v>setembro 2024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Variação face ao stock inicial de janeiro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Stock final do período</v>
      </c>
      <c r="E25" s="342"/>
      <c r="F25" s="342"/>
      <c r="G25" s="343" t="str">
        <f>+IF(Índice!$D$2=1,"Passivo","Liabilities")</f>
        <v>Passivo</v>
      </c>
      <c r="H25" s="343" t="str">
        <f>+IF(Índice!$D$2=1,"Contas a pagar","Accounts payable")</f>
        <v>Contas a pagar</v>
      </c>
      <c r="I25" s="345" t="str">
        <f>+IF(Índice!$D$2=1,"Pagamentos em atraso","Late payments")</f>
        <v>Pagamentos em atraso</v>
      </c>
    </row>
    <row r="26" spans="2:9" ht="22.5">
      <c r="B26" s="29"/>
      <c r="C26" s="338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35713956.090000004</v>
      </c>
      <c r="E27" s="162">
        <v>25288864.130000003</v>
      </c>
      <c r="F27" s="162">
        <v>1055741.5099999998</v>
      </c>
      <c r="G27" s="91">
        <v>1.9748453815464924</v>
      </c>
      <c r="H27" s="91">
        <v>1.7283223662776281</v>
      </c>
      <c r="I27" s="116">
        <v>9.6772527001287578E-4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36044597.579999998</v>
      </c>
      <c r="E28" s="163">
        <v>26655608.089999996</v>
      </c>
      <c r="F28" s="163">
        <v>8625</v>
      </c>
      <c r="G28" s="92">
        <v>8.4656842732848236E-2</v>
      </c>
      <c r="H28" s="172">
        <v>-4.8446874713630184E-3</v>
      </c>
      <c r="I28" s="117">
        <v>12.69047619047619</v>
      </c>
    </row>
    <row r="29" spans="2:9" ht="20.100000000000001" customHeight="1">
      <c r="B29" s="29"/>
      <c r="C29" s="146" t="s">
        <v>7</v>
      </c>
      <c r="D29" s="164">
        <v>71758553.670000002</v>
      </c>
      <c r="E29" s="164">
        <v>51944472.219999999</v>
      </c>
      <c r="F29" s="164">
        <v>1064366.5099999998</v>
      </c>
      <c r="G29" s="147">
        <v>0.58629230150370448</v>
      </c>
      <c r="H29" s="147">
        <v>0.44072526912958376</v>
      </c>
      <c r="I29" s="148">
        <v>8.5428274121885917E-3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setembro de 2024 (valores acumulados)","Table XV - Accounts payable of the ASFs, september (accumulated)")</f>
        <v>QUADRO XV - Contas a pagar, dos Serviços e Fundos Autónomos, no final de setembro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7" t="str">
        <f>+IF(Índice!$D$2=1,"Serviços e Fundos Autónomos","Autonomous Services and Funds")</f>
        <v>Serviços e Fundos Autónomos</v>
      </c>
      <c r="D33" s="339" t="str">
        <f>+IF(Índice!$D$2=1,"setembro 2024","september 2024")</f>
        <v>setembro 2024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Variação face ao stock inicial de janeiro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Stock final do período</v>
      </c>
      <c r="E34" s="351"/>
      <c r="F34" s="352"/>
      <c r="G34" s="353" t="str">
        <f>+IF(Índice!$D$2=1,"Passivo","Liabilities")</f>
        <v>Passivo</v>
      </c>
      <c r="H34" s="353" t="str">
        <f>+IF(Índice!$D$2=1,"Contas a pagar","Accounts payable")</f>
        <v>Contas a pagar</v>
      </c>
      <c r="I34" s="345" t="str">
        <f>+IF(Índice!$D$2=1,"Pagamentos em atraso","Late payments")</f>
        <v>Pagamentos em atraso</v>
      </c>
    </row>
    <row r="35" spans="2:9" ht="22.5">
      <c r="C35" s="349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Despesa corrente</v>
      </c>
      <c r="D36" s="162">
        <v>28483408.75</v>
      </c>
      <c r="E36" s="162">
        <v>26048158.929999996</v>
      </c>
      <c r="F36" s="162">
        <v>1088289.05</v>
      </c>
      <c r="G36" s="91">
        <v>-0.62314100828274332</v>
      </c>
      <c r="H36" s="91">
        <v>-0.64326130186220976</v>
      </c>
      <c r="I36" s="116">
        <v>-0.6481675064878234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172633.32</v>
      </c>
      <c r="E37" s="163">
        <v>172633.32</v>
      </c>
      <c r="F37" s="163">
        <v>0</v>
      </c>
      <c r="G37" s="92">
        <v>-0.53932834868600232</v>
      </c>
      <c r="H37" s="92">
        <v>-0.53932834868600232</v>
      </c>
      <c r="I37" s="117">
        <v>-1</v>
      </c>
    </row>
    <row r="38" spans="2:9" ht="20.100000000000001" customHeight="1">
      <c r="C38" s="146" t="s">
        <v>7</v>
      </c>
      <c r="D38" s="164">
        <v>28656042.07</v>
      </c>
      <c r="E38" s="164">
        <v>26220792.249999996</v>
      </c>
      <c r="F38" s="164">
        <v>1088289.05</v>
      </c>
      <c r="G38" s="147">
        <v>-0.62272750239427344</v>
      </c>
      <c r="H38" s="147">
        <v>-0.64273061737493864</v>
      </c>
      <c r="I38" s="148">
        <v>-0.65732161586710525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setembro de 2024 (valores acumulados)","Table XVI - Accounts payable of the RPEs, september (accumulated)")</f>
        <v>QUADRO XVI - Contas a pagar, das Entidades Públicas Reclassseicadas, no final de setembro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7" t="str">
        <f>+IF(Índice!$D$2=1,"Entidades Públicas Reclassseicadas","Reclassseied Public Entities")</f>
        <v>Entidades Públicas Reclassseicadas</v>
      </c>
      <c r="D42" s="339" t="str">
        <f>+IF(Índice!$D$2=1,"setembro 2024","september 2024")</f>
        <v>setembro 2024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Variação face ao stock inicial de janeiro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Stock final do período</v>
      </c>
      <c r="E43" s="351"/>
      <c r="F43" s="352"/>
      <c r="G43" s="343" t="str">
        <f>+IF(Índice!$D$2=1,"Passivo","Liabilities")</f>
        <v>Passivo</v>
      </c>
      <c r="H43" s="343" t="str">
        <f>+IF(Índice!$D$2=1,"Contas a pagar","Accounts payable")</f>
        <v>Contas a pagar</v>
      </c>
      <c r="I43" s="345" t="str">
        <f>+IF(Índice!$D$2=1,"Pagamentos em atraso","Late payments")</f>
        <v>Pagamentos em atraso</v>
      </c>
    </row>
    <row r="44" spans="2:9" ht="22.5">
      <c r="C44" s="349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Despesa corrente</v>
      </c>
      <c r="D45" s="162">
        <v>88616190.019999996</v>
      </c>
      <c r="E45" s="162">
        <v>84326530.909999996</v>
      </c>
      <c r="F45" s="162">
        <v>43538211.140000001</v>
      </c>
      <c r="G45" s="91">
        <v>9.978609063684396E-2</v>
      </c>
      <c r="H45" s="91">
        <v>0.10527527127933256</v>
      </c>
      <c r="I45" s="116">
        <v>0.31174589421647148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12081167.559999999</v>
      </c>
      <c r="E46" s="163">
        <v>3364032.5599999991</v>
      </c>
      <c r="F46" s="163">
        <v>130382.59000000004</v>
      </c>
      <c r="G46" s="92">
        <v>-7.2965371046863736E-2</v>
      </c>
      <c r="H46" s="92">
        <v>-0.22037222559922476</v>
      </c>
      <c r="I46" s="117">
        <v>-0.36439145785998561</v>
      </c>
    </row>
    <row r="47" spans="2:9" ht="20.100000000000001" customHeight="1">
      <c r="C47" s="146" t="s">
        <v>7</v>
      </c>
      <c r="D47" s="164">
        <v>100697357.58</v>
      </c>
      <c r="E47" s="164">
        <v>87690563.469999999</v>
      </c>
      <c r="F47" s="164">
        <v>43668593.730000004</v>
      </c>
      <c r="G47" s="147">
        <v>7.5735697087049969E-2</v>
      </c>
      <c r="H47" s="147">
        <v>8.7843789419425722E-2</v>
      </c>
      <c r="I47" s="148">
        <v>0.30759283491101419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topLeftCell="A68" zoomScale="130" zoomScaleNormal="130" workbookViewId="0">
      <selection activeCell="K94" sqref="K94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65</v>
      </c>
      <c r="D10" s="170"/>
      <c r="E10" s="169"/>
    </row>
    <row r="11" spans="2:5">
      <c r="B11" s="195"/>
      <c r="C11" s="170" t="s">
        <v>79</v>
      </c>
      <c r="D11" s="170"/>
      <c r="E11" s="169"/>
    </row>
    <row r="12" spans="2:5">
      <c r="B12" s="195"/>
      <c r="C12" s="170" t="s">
        <v>66</v>
      </c>
      <c r="D12" s="170"/>
      <c r="E12" s="169"/>
    </row>
    <row r="13" spans="2:5">
      <c r="B13" s="195"/>
      <c r="C13" s="170" t="s">
        <v>67</v>
      </c>
      <c r="D13" s="170"/>
      <c r="E13" s="169"/>
    </row>
    <row r="14" spans="2:5">
      <c r="B14" s="195"/>
      <c r="C14" s="170" t="s">
        <v>68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54</v>
      </c>
      <c r="D16" s="170"/>
      <c r="E16" s="169"/>
    </row>
    <row r="17" spans="2:5">
      <c r="B17" s="195"/>
      <c r="C17" s="170" t="s">
        <v>69</v>
      </c>
      <c r="D17" s="171"/>
      <c r="E17" s="169"/>
    </row>
    <row r="18" spans="2:5">
      <c r="B18" s="195"/>
      <c r="C18" s="170" t="s">
        <v>87</v>
      </c>
      <c r="D18" s="170"/>
      <c r="E18" s="169"/>
    </row>
    <row r="19" spans="2:5">
      <c r="B19" s="195"/>
      <c r="C19" s="170" t="s">
        <v>84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88</v>
      </c>
      <c r="D21" s="170"/>
      <c r="E21" s="169"/>
    </row>
    <row r="22" spans="2:5">
      <c r="B22" s="195"/>
      <c r="C22" s="170" t="s">
        <v>55</v>
      </c>
      <c r="D22" s="170"/>
      <c r="E22" s="169"/>
    </row>
    <row r="23" spans="2:5">
      <c r="B23" s="195"/>
      <c r="C23" s="170" t="s">
        <v>70</v>
      </c>
      <c r="D23" s="170"/>
      <c r="E23" s="169"/>
    </row>
    <row r="24" spans="2:5">
      <c r="B24" s="195"/>
      <c r="C24" s="170" t="s">
        <v>71</v>
      </c>
      <c r="D24" s="170"/>
      <c r="E24" s="169"/>
    </row>
    <row r="25" spans="2:5">
      <c r="B25" s="195"/>
      <c r="C25" s="170" t="s">
        <v>89</v>
      </c>
      <c r="D25" s="170"/>
      <c r="E25" s="169"/>
    </row>
    <row r="26" spans="2:5">
      <c r="B26" s="195"/>
      <c r="C26" s="170" t="s">
        <v>72</v>
      </c>
      <c r="D26" s="170"/>
      <c r="E26" s="169"/>
    </row>
    <row r="27" spans="2:5">
      <c r="B27" s="195"/>
      <c r="C27" s="170" t="s">
        <v>73</v>
      </c>
      <c r="D27" s="170"/>
      <c r="E27" s="169"/>
    </row>
    <row r="28" spans="2:5">
      <c r="B28" s="195"/>
      <c r="C28" s="170" t="s">
        <v>56</v>
      </c>
      <c r="D28" s="170"/>
      <c r="E28" s="169"/>
    </row>
    <row r="29" spans="2:5">
      <c r="B29" s="55"/>
      <c r="C29" s="170" t="s">
        <v>85</v>
      </c>
      <c r="D29" s="170"/>
      <c r="E29" s="169"/>
    </row>
    <row r="30" spans="2:5">
      <c r="B30" s="55"/>
      <c r="C30" s="170" t="s">
        <v>57</v>
      </c>
      <c r="D30" s="170"/>
      <c r="E30" s="169"/>
    </row>
    <row r="31" spans="2:5">
      <c r="B31" s="55"/>
      <c r="C31" s="170" t="s">
        <v>74</v>
      </c>
      <c r="D31" s="170"/>
      <c r="E31" s="169"/>
    </row>
    <row r="32" spans="2:5">
      <c r="B32" s="55"/>
      <c r="C32" s="170" t="s">
        <v>58</v>
      </c>
      <c r="D32" s="170"/>
      <c r="E32" s="169"/>
    </row>
    <row r="33" spans="2:5">
      <c r="B33" s="55"/>
      <c r="C33" s="170" t="s">
        <v>75</v>
      </c>
      <c r="D33" s="170"/>
      <c r="E33" s="169"/>
    </row>
    <row r="34" spans="2:5">
      <c r="B34" s="55"/>
      <c r="C34" s="170" t="s">
        <v>59</v>
      </c>
      <c r="D34" s="170"/>
      <c r="E34" s="169"/>
    </row>
    <row r="35" spans="2:5">
      <c r="B35" s="55"/>
      <c r="C35" s="170" t="s">
        <v>76</v>
      </c>
      <c r="D35" s="170"/>
      <c r="E35" s="169"/>
    </row>
    <row r="36" spans="2:5">
      <c r="B36" s="55"/>
      <c r="C36" s="170" t="s">
        <v>60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61</v>
      </c>
      <c r="D38" s="170"/>
      <c r="E38" s="169"/>
    </row>
    <row r="39" spans="2:5">
      <c r="B39" s="55"/>
      <c r="C39" s="170" t="s">
        <v>62</v>
      </c>
      <c r="D39" s="170"/>
      <c r="E39" s="169"/>
    </row>
    <row r="40" spans="2:5">
      <c r="B40" s="55"/>
      <c r="C40" s="170" t="s">
        <v>50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63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51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86</v>
      </c>
      <c r="D47" s="170"/>
      <c r="E47" s="169"/>
    </row>
    <row r="48" spans="2:5">
      <c r="B48" s="55"/>
      <c r="C48" s="170" t="s">
        <v>28</v>
      </c>
      <c r="D48" s="170"/>
      <c r="E48" s="169"/>
    </row>
    <row r="49" spans="2:5">
      <c r="B49" s="55"/>
      <c r="C49" s="171" t="s">
        <v>91</v>
      </c>
      <c r="D49" s="170"/>
      <c r="E49" s="169"/>
    </row>
    <row r="50" spans="2:5">
      <c r="B50" s="55"/>
      <c r="C50" s="170" t="s">
        <v>29</v>
      </c>
      <c r="D50" s="171"/>
      <c r="E50" s="169"/>
    </row>
    <row r="51" spans="2:5">
      <c r="B51" s="55"/>
      <c r="C51" s="170" t="s">
        <v>77</v>
      </c>
      <c r="D51" s="170"/>
      <c r="E51" s="169"/>
    </row>
    <row r="52" spans="2:5">
      <c r="B52" s="55"/>
      <c r="C52" s="170" t="s">
        <v>30</v>
      </c>
      <c r="D52" s="170"/>
      <c r="E52" s="169"/>
    </row>
    <row r="53" spans="2:5">
      <c r="B53" s="55"/>
      <c r="C53" s="170" t="s">
        <v>31</v>
      </c>
      <c r="D53" s="170"/>
      <c r="E53" s="169"/>
    </row>
    <row r="54" spans="2:5">
      <c r="B54" s="55"/>
      <c r="C54" s="170" t="s">
        <v>22</v>
      </c>
      <c r="D54" s="171"/>
      <c r="E54" s="169"/>
    </row>
    <row r="55" spans="2:5">
      <c r="B55" s="55"/>
      <c r="C55" s="170" t="s">
        <v>90</v>
      </c>
    </row>
    <row r="56" spans="2:5">
      <c r="B56" s="55"/>
      <c r="C56" s="171" t="s">
        <v>92</v>
      </c>
    </row>
    <row r="57" spans="2:5">
      <c r="B57" s="55"/>
      <c r="C57" s="170" t="s">
        <v>53</v>
      </c>
    </row>
    <row r="58" spans="2:5">
      <c r="B58" s="55"/>
      <c r="C58" s="170" t="s">
        <v>52</v>
      </c>
    </row>
    <row r="59" spans="2:5">
      <c r="B59" s="55"/>
      <c r="C59" s="171" t="s">
        <v>33</v>
      </c>
    </row>
    <row r="60" spans="2:5">
      <c r="B60" s="55"/>
      <c r="C60" s="170" t="s">
        <v>78</v>
      </c>
    </row>
    <row r="61" spans="2:5">
      <c r="B61" s="55"/>
      <c r="C61" s="170" t="s">
        <v>34</v>
      </c>
    </row>
    <row r="62" spans="2:5">
      <c r="B62" s="55"/>
      <c r="C62" s="170" t="s">
        <v>35</v>
      </c>
    </row>
    <row r="63" spans="2:5">
      <c r="B63" s="55"/>
      <c r="C63" s="170" t="s">
        <v>36</v>
      </c>
    </row>
    <row r="64" spans="2:5">
      <c r="B64" s="55"/>
      <c r="C64" s="171" t="s">
        <v>93</v>
      </c>
    </row>
    <row r="65" spans="2:3">
      <c r="B65" s="55"/>
      <c r="C65" s="170" t="s">
        <v>80</v>
      </c>
    </row>
    <row r="66" spans="2:3">
      <c r="B66" s="55"/>
      <c r="C66" s="170" t="s">
        <v>32</v>
      </c>
    </row>
    <row r="67" spans="2:3">
      <c r="B67" s="55"/>
      <c r="C67" s="323" t="s">
        <v>21</v>
      </c>
    </row>
    <row r="68" spans="2:3">
      <c r="B68" s="55"/>
      <c r="C68" s="275"/>
    </row>
    <row r="69" spans="2:3">
      <c r="B69" s="55"/>
      <c r="C69" s="171"/>
    </row>
    <row r="70" spans="2:3" hidden="1">
      <c r="B70" s="55"/>
      <c r="C70" s="170"/>
    </row>
    <row r="71" spans="2:3" hidden="1">
      <c r="B71" s="55"/>
      <c r="C71" s="171"/>
    </row>
    <row r="72" spans="2:3" hidden="1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 hidden="1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94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83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64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92</v>
      </c>
    </row>
    <row r="100" spans="2:3">
      <c r="B100" s="55"/>
      <c r="C100" s="170" t="s">
        <v>81</v>
      </c>
    </row>
    <row r="101" spans="2:3">
      <c r="B101" s="55"/>
      <c r="C101" s="171" t="s">
        <v>92</v>
      </c>
    </row>
    <row r="102" spans="2:3">
      <c r="B102" s="55"/>
      <c r="C102" s="170" t="s">
        <v>82</v>
      </c>
    </row>
    <row r="103" spans="2:3">
      <c r="B103" s="55"/>
      <c r="C103" s="171" t="s">
        <v>33</v>
      </c>
    </row>
    <row r="104" spans="2:3">
      <c r="B104" s="55"/>
      <c r="C104" s="170" t="s">
        <v>40</v>
      </c>
    </row>
    <row r="105" spans="2:3">
      <c r="B105" s="55"/>
      <c r="C105" s="170" t="s">
        <v>45</v>
      </c>
    </row>
    <row r="106" spans="2:3">
      <c r="B106" s="55"/>
      <c r="C106" s="170" t="s">
        <v>46</v>
      </c>
    </row>
    <row r="107" spans="2:3">
      <c r="B107" s="55"/>
      <c r="C107" s="170" t="s">
        <v>47</v>
      </c>
    </row>
    <row r="108" spans="2:3">
      <c r="B108" s="55"/>
      <c r="C108" s="170" t="s">
        <v>48</v>
      </c>
    </row>
    <row r="109" spans="2:3">
      <c r="B109" s="55"/>
      <c r="C109" s="170" t="s">
        <v>49</v>
      </c>
    </row>
    <row r="110" spans="2:3">
      <c r="B110" s="55"/>
      <c r="C110" s="171" t="s">
        <v>93</v>
      </c>
    </row>
    <row r="111" spans="2:3">
      <c r="B111" s="55"/>
      <c r="C111" s="170" t="s">
        <v>44</v>
      </c>
    </row>
    <row r="112" spans="2:3">
      <c r="B112" s="55"/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42" sqref="D42:F42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(janeiro-setembro)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(janeiro-setembro)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(setembro)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(janeiro-setembro)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(janeiro-setembro)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(janeiro-setembro)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(janeiro-setembro)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(janeiro-setembro)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(janeiro-setembro)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(janeiro-setembro)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(janeiro-setembro)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(setembro)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setembro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setembro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setembro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setembro de 2024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D42" sqref="D42:F4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(janeiro-setembro)","TABLE I - Consolidated budget execution (january-september)")</f>
        <v>QUADRO I - Execução orçamental consolidada (janeiro-setembro)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1126266.0631200001</v>
      </c>
      <c r="E5" s="57">
        <v>432820.13389000011</v>
      </c>
      <c r="F5" s="57">
        <v>306067.34816999995</v>
      </c>
      <c r="G5" s="57">
        <v>1230929.9594399999</v>
      </c>
      <c r="H5" s="57">
        <v>16.391546614827202</v>
      </c>
    </row>
    <row r="6" spans="1:10" ht="11.25" customHeight="1">
      <c r="C6" s="68" t="str">
        <f>+IF(Índice!$D$2=1,"Impostos diretos","Direct taxes")</f>
        <v>Impostos diretos</v>
      </c>
      <c r="D6" s="56">
        <v>362249.66745000001</v>
      </c>
      <c r="E6" s="56">
        <v>0</v>
      </c>
      <c r="F6" s="56">
        <v>0</v>
      </c>
      <c r="G6" s="56">
        <v>362249.66745000001</v>
      </c>
      <c r="H6" s="56">
        <v>25.561521970884549</v>
      </c>
    </row>
    <row r="7" spans="1:10">
      <c r="C7" s="68" t="str">
        <f>+IF(Índice!$D$2=1,"Impostos indiretos","Indirect taxes")</f>
        <v>Impostos indiretos</v>
      </c>
      <c r="D7" s="56">
        <v>569913.772</v>
      </c>
      <c r="E7" s="56">
        <v>0</v>
      </c>
      <c r="F7" s="56">
        <v>0</v>
      </c>
      <c r="G7" s="56">
        <v>569913.772</v>
      </c>
      <c r="H7" s="56">
        <v>11.028220757682483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194102.62367000003</v>
      </c>
      <c r="E9" s="56">
        <v>432820.13389000011</v>
      </c>
      <c r="F9" s="56">
        <v>306067.34816999995</v>
      </c>
      <c r="G9" s="56">
        <v>271915.8409500001</v>
      </c>
      <c r="H9" s="56">
        <v>11.563126811057289</v>
      </c>
    </row>
    <row r="10" spans="1:10">
      <c r="C10" s="69" t="str">
        <f>+IF(Índice!$D$2=1,"Transferências correntes","Current transfers")</f>
        <v>Transferências correntes</v>
      </c>
      <c r="D10" s="56">
        <v>157855.02333000003</v>
      </c>
      <c r="E10" s="56">
        <v>424549.82530000014</v>
      </c>
      <c r="F10" s="56">
        <v>270321.17962999991</v>
      </c>
      <c r="G10" s="56">
        <v>191656.0864400001</v>
      </c>
      <c r="H10" s="56">
        <v>11.651460841250083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154493.21300000002</v>
      </c>
      <c r="E11" s="56">
        <v>1323.1776600000001</v>
      </c>
      <c r="F11" s="56">
        <v>10.290649999999999</v>
      </c>
      <c r="G11" s="56">
        <v>155826.68131000001</v>
      </c>
      <c r="H11" s="56">
        <v>7.9542318326449868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394328.59489999997</v>
      </c>
      <c r="F12" s="56">
        <v>266741.34691999998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26850.679039999814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99432.856350000002</v>
      </c>
      <c r="E14" s="57">
        <v>6303.4684000000007</v>
      </c>
      <c r="F14" s="57">
        <v>24815.702340000007</v>
      </c>
      <c r="G14" s="57">
        <v>117731.48010000002</v>
      </c>
      <c r="H14" s="57">
        <v>47.261319439708217</v>
      </c>
    </row>
    <row r="15" spans="1:10">
      <c r="C15" s="68" t="str">
        <f>+IF(Índice!$D$2=1,"Venda de bens de investimento","Sale of investment goods")</f>
        <v>Venda de bens de investimento</v>
      </c>
      <c r="D15" s="56">
        <v>1055.9685400000001</v>
      </c>
      <c r="E15" s="56">
        <v>0</v>
      </c>
      <c r="F15" s="56">
        <v>236.07902999999999</v>
      </c>
      <c r="G15" s="56">
        <v>1292.0475700000002</v>
      </c>
      <c r="H15" s="56">
        <v>-83.67532722688388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91900.644749999992</v>
      </c>
      <c r="E16" s="56">
        <v>6264.2539500000003</v>
      </c>
      <c r="F16" s="56">
        <v>23865.270000000004</v>
      </c>
      <c r="G16" s="56">
        <v>108074.77398</v>
      </c>
      <c r="H16" s="56">
        <v>55.473872632056988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81203.786999999997</v>
      </c>
      <c r="E17" s="56">
        <v>41.051360000000003</v>
      </c>
      <c r="F17" s="56">
        <v>0</v>
      </c>
      <c r="G17" s="56">
        <v>81244.838359999994</v>
      </c>
      <c r="H17" s="56">
        <v>112.85827309091623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1918.08248</v>
      </c>
      <c r="F18" s="56">
        <v>12037.312240000001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1134.8477299999977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1225698.9194700001</v>
      </c>
      <c r="E20" s="57">
        <v>439123.60229000013</v>
      </c>
      <c r="F20" s="57">
        <v>330883.05050999997</v>
      </c>
      <c r="G20" s="57">
        <v>1348661.4395399999</v>
      </c>
      <c r="H20" s="57">
        <v>18.561132000302827</v>
      </c>
    </row>
    <row r="21" spans="3:8" ht="20.25" customHeight="1">
      <c r="C21" s="220" t="str">
        <f>+IF(Índice!$D$2=1,"Despesa corrente","Current expenditure")</f>
        <v>Despesa corrente</v>
      </c>
      <c r="D21" s="220">
        <v>1006302.7295200003</v>
      </c>
      <c r="E21" s="220">
        <v>419793.14467999991</v>
      </c>
      <c r="F21" s="220">
        <v>286098.68075000017</v>
      </c>
      <c r="G21" s="220">
        <v>1077970.9692100002</v>
      </c>
      <c r="H21" s="220">
        <v>9.2469551546953568</v>
      </c>
    </row>
    <row r="22" spans="3:8" ht="10.5" customHeight="1">
      <c r="C22" s="68" t="str">
        <f>+IF(Índice!$D$2=1,"Consumo público","Public consumption")</f>
        <v>Consumo público</v>
      </c>
      <c r="D22" s="56">
        <v>462820.26697000017</v>
      </c>
      <c r="E22" s="56">
        <v>126443.93719000001</v>
      </c>
      <c r="F22" s="56">
        <v>275074.31960000016</v>
      </c>
      <c r="G22" s="56">
        <v>864338.52376000036</v>
      </c>
      <c r="H22" s="56">
        <v>10.208648302159062</v>
      </c>
    </row>
    <row r="23" spans="3:8">
      <c r="C23" s="69" t="str">
        <f>+IF(Índice!$D$2=1,"Despesas com o pessoal","Compensation of employees")</f>
        <v>Despesas com o pessoal</v>
      </c>
      <c r="D23" s="56">
        <v>339256.95491000009</v>
      </c>
      <c r="E23" s="56">
        <v>41912.74325</v>
      </c>
      <c r="F23" s="56">
        <v>191471.04521000004</v>
      </c>
      <c r="G23" s="56">
        <v>572640.74337000016</v>
      </c>
      <c r="H23" s="56">
        <v>7.620531795166019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123563.31206000008</v>
      </c>
      <c r="E24" s="56">
        <v>84531.193940000012</v>
      </c>
      <c r="F24" s="56">
        <v>83603.274390000108</v>
      </c>
      <c r="G24" s="56">
        <v>291697.7803900002</v>
      </c>
      <c r="H24" s="56">
        <v>15.669450975270415</v>
      </c>
    </row>
    <row r="25" spans="3:8">
      <c r="C25" s="68" t="str">
        <f>+IF(Índice!$D$2=1,"Subsídios","Subsidies")</f>
        <v>Subsídios</v>
      </c>
      <c r="D25" s="56">
        <v>22537.304279999993</v>
      </c>
      <c r="E25" s="56">
        <v>4391.2232400000003</v>
      </c>
      <c r="F25" s="56">
        <v>0</v>
      </c>
      <c r="G25" s="56">
        <v>26924.204559999991</v>
      </c>
      <c r="H25" s="56">
        <v>31.592388964408634</v>
      </c>
    </row>
    <row r="26" spans="3:8">
      <c r="C26" s="68" t="str">
        <f>+IF(Índice!$D$2=1,"Juros e outros encargos","Interests and other charges")</f>
        <v>Juros e outros encargos</v>
      </c>
      <c r="D26" s="56">
        <v>92193.057440000019</v>
      </c>
      <c r="E26" s="56">
        <v>18.875880000000002</v>
      </c>
      <c r="F26" s="56">
        <v>1241.0724299999999</v>
      </c>
      <c r="G26" s="56">
        <v>93453.005750000026</v>
      </c>
      <c r="H26" s="56">
        <v>5.440825452303133</v>
      </c>
    </row>
    <row r="27" spans="3:8">
      <c r="C27" s="68" t="str">
        <f>+IF(Índice!$D$2=1,"Transferências correntes","Current transfers")</f>
        <v>Transferências correntes</v>
      </c>
      <c r="D27" s="56">
        <v>428752.10083000007</v>
      </c>
      <c r="E27" s="56">
        <v>288939.10836999991</v>
      </c>
      <c r="F27" s="56">
        <v>9783.2887200000041</v>
      </c>
      <c r="G27" s="56">
        <v>93255.235139999888</v>
      </c>
      <c r="H27" s="56">
        <v>-0.11528711512804879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117.78400000000001</v>
      </c>
      <c r="E28" s="56">
        <v>1861.5148200000001</v>
      </c>
      <c r="F28" s="56">
        <v>0</v>
      </c>
      <c r="G28" s="56">
        <v>1979.2988200000002</v>
      </c>
      <c r="H28" s="56">
        <v>16.591119389395125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374831.5950700001</v>
      </c>
      <c r="E29" s="56">
        <v>259387.66771000004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90639.543059999938</v>
      </c>
      <c r="E31" s="57">
        <v>3927.5280899999993</v>
      </c>
      <c r="F31" s="57">
        <v>23947.559890000015</v>
      </c>
      <c r="G31" s="57">
        <v>105694.08404999995</v>
      </c>
      <c r="H31" s="57">
        <v>-14.302839083159725</v>
      </c>
    </row>
    <row r="32" spans="3:8">
      <c r="C32" s="68" t="str">
        <f>+IF(Índice!$D$2=1,"Investimento","Investment")</f>
        <v>Investimento</v>
      </c>
      <c r="D32" s="56">
        <v>66310.607759999941</v>
      </c>
      <c r="E32" s="56">
        <v>1381.0338999999999</v>
      </c>
      <c r="F32" s="56">
        <v>23693.994600000016</v>
      </c>
      <c r="G32" s="56">
        <v>91385.636259999956</v>
      </c>
      <c r="H32" s="56">
        <v>-4.6742066131806865</v>
      </c>
    </row>
    <row r="33" spans="3:8">
      <c r="C33" s="68" t="str">
        <f>+IF(Índice!$D$2=1,"Transferências capital","Capital transfers")</f>
        <v>Transferências capital</v>
      </c>
      <c r="D33" s="56">
        <v>24328.935299999994</v>
      </c>
      <c r="E33" s="56">
        <v>2546.4941899999994</v>
      </c>
      <c r="F33" s="56">
        <v>253.56529</v>
      </c>
      <c r="G33" s="56">
        <v>14308.447789999991</v>
      </c>
      <c r="H33" s="56">
        <v>-47.892557519001286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7596.7565999999997</v>
      </c>
      <c r="E34" s="56">
        <v>0.83492000000000011</v>
      </c>
      <c r="F34" s="56">
        <v>0</v>
      </c>
      <c r="G34" s="56">
        <v>7597.5915199999999</v>
      </c>
      <c r="H34" s="56">
        <v>29.292527774593392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12820.546990000003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1096942.2725800001</v>
      </c>
      <c r="E38" s="86">
        <v>423720.67276999995</v>
      </c>
      <c r="F38" s="86">
        <v>310046.24064000021</v>
      </c>
      <c r="G38" s="86">
        <v>1183665.0532600002</v>
      </c>
      <c r="H38" s="86">
        <v>6.630437158133784</v>
      </c>
    </row>
    <row r="39" spans="3:8" ht="17.25" customHeight="1">
      <c r="C39" s="138" t="str">
        <f>+IF(Índice!$D$2=1,"Saldo global","Overall balance")</f>
        <v>Saldo global</v>
      </c>
      <c r="D39" s="139">
        <v>128756.64688999997</v>
      </c>
      <c r="E39" s="139">
        <v>15402.92952000018</v>
      </c>
      <c r="F39" s="139">
        <v>20836.809869999764</v>
      </c>
      <c r="G39" s="139">
        <v>164996.38627999974</v>
      </c>
      <c r="H39" s="139">
        <v>500.83744313810462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119963.33359999978</v>
      </c>
      <c r="E41" s="19">
        <v>13026.989210000203</v>
      </c>
      <c r="F41" s="19">
        <v>19968.66741999978</v>
      </c>
      <c r="G41" s="19">
        <v>152958.99022999965</v>
      </c>
      <c r="H41" s="19">
        <v>115.8969322317398</v>
      </c>
    </row>
    <row r="42" spans="3:8">
      <c r="C42" s="68" t="str">
        <f>+IF(Índice!$D$2=1,"Despesa corrente primária","Primary current expenditure")</f>
        <v>Despesa corrente primária</v>
      </c>
      <c r="D42" s="19">
        <v>914109.67208000028</v>
      </c>
      <c r="E42" s="19">
        <v>419774.2687999999</v>
      </c>
      <c r="F42" s="19">
        <v>284857.60832000017</v>
      </c>
      <c r="G42" s="19">
        <v>984517.96346000023</v>
      </c>
      <c r="H42" s="19">
        <v>9.6225714295847808</v>
      </c>
    </row>
    <row r="43" spans="3:8">
      <c r="C43" s="68" t="str">
        <f>+IF(Índice!$D$2=1,"Saldo corrente primário","Primary current balance")</f>
        <v>Saldo corrente primário</v>
      </c>
      <c r="D43" s="19">
        <v>212156.39103999978</v>
      </c>
      <c r="E43" s="19">
        <v>13045.86509000021</v>
      </c>
      <c r="F43" s="19">
        <v>21209.73984999978</v>
      </c>
      <c r="G43" s="19">
        <v>246411.99597999966</v>
      </c>
      <c r="H43" s="19">
        <v>54.510705645642908</v>
      </c>
    </row>
    <row r="44" spans="3:8">
      <c r="C44" s="68" t="str">
        <f>+IF(Índice!$D$2=1,"Saldo de capital","Capital balance")</f>
        <v>Saldo de capital</v>
      </c>
      <c r="D44" s="19">
        <v>8793.3132900000637</v>
      </c>
      <c r="E44" s="19">
        <v>2375.9403100000013</v>
      </c>
      <c r="F44" s="19">
        <v>868.1424499999921</v>
      </c>
      <c r="G44" s="19">
        <v>12037.396050000068</v>
      </c>
      <c r="H44" s="19">
        <v>127.74419212362305</v>
      </c>
    </row>
    <row r="45" spans="3:8">
      <c r="C45" s="68" t="str">
        <f t="array" ref="C45">+IF(Índice!$D$2=1,"Despesa primária","Primary expenditure")</f>
        <v>Despesa primária</v>
      </c>
      <c r="D45" s="19">
        <v>1004749.2151400001</v>
      </c>
      <c r="E45" s="19">
        <v>423701.79688999994</v>
      </c>
      <c r="F45" s="19">
        <v>308805.16821000021</v>
      </c>
      <c r="G45" s="19">
        <v>1090212.0475100002</v>
      </c>
      <c r="H45" s="19">
        <v>6.7336610276758302</v>
      </c>
    </row>
    <row r="46" spans="3:8">
      <c r="C46" s="221" t="str">
        <f>+IF(Índice!$D$2=1,"Saldo primário","Primary balance")</f>
        <v>Saldo primário</v>
      </c>
      <c r="D46" s="132">
        <v>220949.70432999998</v>
      </c>
      <c r="E46" s="132">
        <v>15421.805400000187</v>
      </c>
      <c r="F46" s="132">
        <v>22077.882299999765</v>
      </c>
      <c r="G46" s="132">
        <v>258449.39202999976</v>
      </c>
      <c r="H46" s="132">
        <v>122.62496166181536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topLeftCell="A17" zoomScale="120" zoomScaleNormal="120" workbookViewId="0">
      <selection activeCell="D42" sqref="D42:F4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(janeiro-setembro)","TABLE II - Regional Gov. budget execution (january-september)")</f>
        <v>QUADRO II - Execução orçamental do Gov. Regional (janeiro-setembro)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977802.72976999998</v>
      </c>
      <c r="E5" s="225">
        <v>1126266.0631200001</v>
      </c>
      <c r="F5" s="225">
        <v>15.18336253621646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801809.05186000001</v>
      </c>
      <c r="E6" s="231">
        <v>932163.43944999995</v>
      </c>
      <c r="F6" s="231">
        <v>16.257535043737636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288503.72451999999</v>
      </c>
      <c r="E7" s="231">
        <v>362249.66745000001</v>
      </c>
      <c r="F7" s="231">
        <v>25.561521970884549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513305.32734000002</v>
      </c>
      <c r="E8" s="231">
        <v>569913.772</v>
      </c>
      <c r="F8" s="231">
        <v>11.028220757682504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175993.67790999997</v>
      </c>
      <c r="E9" s="231">
        <v>194102.62367000003</v>
      </c>
      <c r="F9" s="231">
        <v>10.289543337608208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58758.667490000007</v>
      </c>
      <c r="E10" s="232">
        <v>99432.856350000016</v>
      </c>
      <c r="F10" s="232">
        <v>69.222449380633506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1036561.39726</v>
      </c>
      <c r="E12" s="232">
        <v>1225698.9194700001</v>
      </c>
      <c r="F12" s="232">
        <v>18.246629935280033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924551.09273000015</v>
      </c>
      <c r="E14" s="232">
        <v>1006302.7295200003</v>
      </c>
      <c r="F14" s="232">
        <v>8.8423060048098847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318236.24491000012</v>
      </c>
      <c r="E15" s="231">
        <v>339256.95491000009</v>
      </c>
      <c r="F15" s="231">
        <v>6.6053789711931765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121011.31866000014</v>
      </c>
      <c r="E16" s="231">
        <v>122905.11964000008</v>
      </c>
      <c r="F16" s="231">
        <v>1.5649783846425791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84250.470010000048</v>
      </c>
      <c r="E17" s="231">
        <v>92193.057440000019</v>
      </c>
      <c r="F17" s="231">
        <v>9.4273508848760521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383951.98660999991</v>
      </c>
      <c r="E18" s="231">
        <v>428752.10083000013</v>
      </c>
      <c r="F18" s="231">
        <v>11.668155337741748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325400.14410999988</v>
      </c>
      <c r="E19" s="231">
        <v>374949.37907000008</v>
      </c>
      <c r="F19" s="231">
        <v>15.227170564266967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58551.842500000021</v>
      </c>
      <c r="E20" s="231">
        <v>53802.721760000015</v>
      </c>
      <c r="F20" s="231">
        <v>-8.11096719970854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16477.435389999999</v>
      </c>
      <c r="E21" s="231">
        <v>22537.304279999993</v>
      </c>
      <c r="F21" s="231">
        <v>36.776772274146929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623.63715000000002</v>
      </c>
      <c r="E22" s="231">
        <v>658.19242000000042</v>
      </c>
      <c r="F22" s="231">
        <v>5.5409255205531638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102614.00670000003</v>
      </c>
      <c r="E23" s="232">
        <v>90639.543059999938</v>
      </c>
      <c r="F23" s="232">
        <v>-11.669424111864535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69252.732380000045</v>
      </c>
      <c r="E24" s="231">
        <v>66310.607759999941</v>
      </c>
      <c r="F24" s="231">
        <v>-4.2483877803639931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33361.27431999999</v>
      </c>
      <c r="E25" s="231">
        <v>24328.935300000005</v>
      </c>
      <c r="F25" s="231">
        <v>-27.074322561429021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28871.531389999989</v>
      </c>
      <c r="E26" s="231">
        <v>20417.303590000003</v>
      </c>
      <c r="F26" s="231">
        <v>-29.282228524006214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4489.7429300000003</v>
      </c>
      <c r="E27" s="231">
        <v>3911.6317100000001</v>
      </c>
      <c r="F27" s="231">
        <v>-12.876265501463802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1027165.0994300002</v>
      </c>
      <c r="E29" s="235">
        <v>1096942.2725800001</v>
      </c>
      <c r="F29" s="235">
        <v>6.7931799073704058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9396.2978299998067</v>
      </c>
      <c r="E31" s="139">
        <v>128756.64688999986</v>
      </c>
      <c r="F31" s="139">
        <v>1270.2912489524876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53251.637039999827</v>
      </c>
      <c r="E33" s="19">
        <v>119963.33359999978</v>
      </c>
      <c r="F33" s="19">
        <v>125.27633002134681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-43855.33921000002</v>
      </c>
      <c r="E34" s="19">
        <v>8793.3132900000783</v>
      </c>
      <c r="F34" s="19">
        <v>120.05072460594491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93646.767839999855</v>
      </c>
      <c r="E35" s="19">
        <v>220949.70432999986</v>
      </c>
      <c r="F35" s="19">
        <v>135.93948774345677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18894.362939999999</v>
      </c>
      <c r="E36" s="106">
        <v>10508.396750000002</v>
      </c>
      <c r="F36" s="106">
        <v>-44.383429156251822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2" zoomScale="130" zoomScaleNormal="130" workbookViewId="0">
      <selection activeCell="D42" sqref="D42:F4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(setembro)","TABLE III - Regional Gov. budget execution (september)")</f>
        <v>QUADRO III - Execução orçamental do Gov. Regional (setembro)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95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110278.85217000006</v>
      </c>
      <c r="E5" s="225">
        <v>124792.60842999995</v>
      </c>
      <c r="F5" s="225">
        <v>13.160960578032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108482.40451000005</v>
      </c>
      <c r="E6" s="231">
        <v>120780.80400999993</v>
      </c>
      <c r="F6" s="231">
        <v>11.336768903261362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44031.598219999971</v>
      </c>
      <c r="E7" s="231">
        <v>47642.912449999989</v>
      </c>
      <c r="F7" s="231">
        <v>8.2016424022503198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64450.80629000008</v>
      </c>
      <c r="E8" s="231">
        <v>73137.891559999945</v>
      </c>
      <c r="F8" s="231">
        <v>13.478629314444612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1796.4476600000194</v>
      </c>
      <c r="E9" s="231">
        <v>4011.804420000024</v>
      </c>
      <c r="F9" s="231">
        <v>123.31874784484289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4699.8924400000005</v>
      </c>
      <c r="E10" s="232">
        <v>6782.2821200000035</v>
      </c>
      <c r="F10" s="232">
        <v>44.307177378723225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114978.74461000005</v>
      </c>
      <c r="E12" s="232">
        <v>131574.89054999995</v>
      </c>
      <c r="F12" s="232">
        <v>14.434099099179477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82664.529130001058</v>
      </c>
      <c r="E14" s="232">
        <v>109559.24682999963</v>
      </c>
      <c r="F14" s="232">
        <v>32.534773962969069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34031.694310001076</v>
      </c>
      <c r="E15" s="231">
        <v>42438.652989999653</v>
      </c>
      <c r="F15" s="231">
        <v>24.703320979020372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5149.2753099999727</v>
      </c>
      <c r="E16" s="231">
        <v>7272.6373800000101</v>
      </c>
      <c r="F16" s="231">
        <v>41.2361340609704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3103.5256699999718</v>
      </c>
      <c r="E17" s="231">
        <v>3088.9309600000233</v>
      </c>
      <c r="F17" s="231">
        <v>-0.47026226143470629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37803.108460000039</v>
      </c>
      <c r="E18" s="231">
        <v>52893.072559999942</v>
      </c>
      <c r="F18" s="231">
        <v>39.917257375717632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2545.5284499999993</v>
      </c>
      <c r="E19" s="231">
        <v>3766.0421299999953</v>
      </c>
      <c r="F19" s="231">
        <v>47.947359614071352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31.396930000000051</v>
      </c>
      <c r="E20" s="231">
        <v>99.910810000000168</v>
      </c>
      <c r="F20" s="231">
        <v>218.21840543008508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19687.619690000047</v>
      </c>
      <c r="E21" s="232">
        <v>10868.803419999995</v>
      </c>
      <c r="F21" s="232">
        <v>-44.793715080139442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16261.512840000056</v>
      </c>
      <c r="E22" s="231">
        <v>8265.924729999997</v>
      </c>
      <c r="F22" s="231">
        <v>-49.168783917401079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3426.1068499999901</v>
      </c>
      <c r="E23" s="231">
        <v>2602.8786899999977</v>
      </c>
      <c r="F23" s="231">
        <v>-24.028093577992028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102352.14882000111</v>
      </c>
      <c r="E25" s="300">
        <v>120428.05024999962</v>
      </c>
      <c r="F25" s="300">
        <v>17.660500183330029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12626.595789998944</v>
      </c>
      <c r="E27" s="287">
        <v>11146.840300000331</v>
      </c>
      <c r="F27" s="287">
        <v>-11.719354247252234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27614.323039998999</v>
      </c>
      <c r="E29" s="19">
        <v>15233.361600000324</v>
      </c>
      <c r="F29" s="19">
        <v>-44.835288636498561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-14987.727250000047</v>
      </c>
      <c r="E30" s="19">
        <v>-4086.5212999999912</v>
      </c>
      <c r="F30" s="19">
        <v>72.734216256837897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15730.121459998916</v>
      </c>
      <c r="E31" s="19">
        <v>14235.771260000354</v>
      </c>
      <c r="F31" s="19">
        <v>-9.4999279172677475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topLeftCell="A8" zoomScale="120" zoomScaleNormal="120" zoomScaleSheetLayoutView="100" zoomScalePageLayoutView="150" workbookViewId="0">
      <selection activeCell="D42" sqref="D42:F4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(janeiro-setembro)","TABLE IV - Regional Gov. tax revenue budget execution (january-september)")</f>
        <v>QUADRO IV - Execução orçamental da receita fiscal do Gov. Reg. (janeiro-setembro)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801809.05186000001</v>
      </c>
      <c r="E5" s="33">
        <v>932163.43944999995</v>
      </c>
      <c r="F5" s="270">
        <v>0.74990838438244067</v>
      </c>
      <c r="G5" s="270">
        <v>0.16257535043737636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288503.72451999999</v>
      </c>
      <c r="E7" s="70">
        <v>362249.66745000001</v>
      </c>
      <c r="F7" s="271">
        <v>0.78880471972488342</v>
      </c>
      <c r="G7" s="271">
        <v>0.25561521970884549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159142.53250999999</v>
      </c>
      <c r="E8" s="70">
        <v>174189.53615999999</v>
      </c>
      <c r="F8" s="271">
        <v>0.73169893459579571</v>
      </c>
      <c r="G8" s="271">
        <v>9.4550485107144366E-2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129361.19201</v>
      </c>
      <c r="E9" s="70">
        <v>188060.13128999999</v>
      </c>
      <c r="F9" s="271">
        <v>0.85027000027855526</v>
      </c>
      <c r="G9" s="271">
        <v>0.45376003705549017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513305.32734000002</v>
      </c>
      <c r="E11" s="70">
        <v>569913.772</v>
      </c>
      <c r="F11" s="271">
        <v>0.72711844395779313</v>
      </c>
      <c r="G11" s="271">
        <v>0.11028220757682505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26456.62472</v>
      </c>
      <c r="E12" s="70">
        <v>26871.08641</v>
      </c>
      <c r="F12" s="271">
        <v>0.55981430020833334</v>
      </c>
      <c r="G12" s="271">
        <v>1.566570544755419E-2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405827.50177000003</v>
      </c>
      <c r="E13" s="70">
        <v>456872.92124</v>
      </c>
      <c r="F13" s="271">
        <v>0.75914895378620773</v>
      </c>
      <c r="G13" s="271">
        <v>0.1257810750808348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5025.9252900000001</v>
      </c>
      <c r="E14" s="70">
        <v>4976.0370599999997</v>
      </c>
      <c r="F14" s="271">
        <v>0.66056512146555157</v>
      </c>
      <c r="G14" s="271">
        <v>-9.9261781903646762E-3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25504.085039999998</v>
      </c>
      <c r="E15" s="70">
        <v>27181.384590000001</v>
      </c>
      <c r="F15" s="271">
        <v>0.58597539528850195</v>
      </c>
      <c r="G15" s="271">
        <v>6.5765917395953055E-2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6325.4654299999993</v>
      </c>
      <c r="E16" s="70">
        <v>7829.8974400000006</v>
      </c>
      <c r="F16" s="271">
        <v>0.62136421307913414</v>
      </c>
      <c r="G16" s="271">
        <v>0.23783736179552584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44165.72509</v>
      </c>
      <c r="E17" s="70">
        <v>46182.44526</v>
      </c>
      <c r="F17" s="271">
        <v>0.68464579505939038</v>
      </c>
      <c r="G17" s="271">
        <v>4.5662562221957526E-2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23921.915920000003</v>
      </c>
      <c r="E18" s="70">
        <v>25644.246179999998</v>
      </c>
      <c r="F18" s="271">
        <v>0.68442272097215062</v>
      </c>
      <c r="G18" s="271">
        <v>7.1998006587759678E-2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5484.2315099999996</v>
      </c>
      <c r="E19" s="70">
        <v>6043.4636999999993</v>
      </c>
      <c r="F19" s="271">
        <v>0.74415895434172286</v>
      </c>
      <c r="G19" s="271">
        <v>0.10197093047226224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234752.34539999999</v>
      </c>
      <c r="E21" s="33">
        <v>293535.48002000002</v>
      </c>
      <c r="F21" s="270">
        <v>0.46646695948902661</v>
      </c>
      <c r="G21" s="270">
        <v>0.250404887413747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1036561.39726</v>
      </c>
      <c r="E23" s="139">
        <v>1225698.9194700001</v>
      </c>
      <c r="F23" s="274">
        <v>0.6546451755714886</v>
      </c>
      <c r="G23" s="274">
        <v>0.18246629935280034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D42" sqref="D42:F4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(janeiro-setembro)","TABLE V - Regional Gov. non-tax revenue budget execution (january-september)")</f>
        <v>QUADRO V - Execução orçamental da receita não fiscal do Gov. Reg. (janeiro-setembro)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801809.05186000001</v>
      </c>
      <c r="E5" s="41">
        <v>932163.43944999995</v>
      </c>
      <c r="F5" s="276">
        <v>0.74990838438244067</v>
      </c>
      <c r="G5" s="42">
        <v>0.16257535043737636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234752.34539999999</v>
      </c>
      <c r="E7" s="41">
        <v>293535.48002000002</v>
      </c>
      <c r="F7" s="276">
        <v>0.46646695948902661</v>
      </c>
      <c r="G7" s="42">
        <v>0.250404887413747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175993.67790999997</v>
      </c>
      <c r="E8" s="41">
        <v>194102.62367000003</v>
      </c>
      <c r="F8" s="276">
        <v>0.53607926879046996</v>
      </c>
      <c r="G8" s="42">
        <v>0.10289543337608209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15686.542460000001</v>
      </c>
      <c r="E10" s="71">
        <v>21467.763470000009</v>
      </c>
      <c r="F10" s="278">
        <v>0.48458728793542255</v>
      </c>
      <c r="G10" s="43">
        <v>0.36854654393993269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8402.7195199999987</v>
      </c>
      <c r="E11" s="71">
        <v>4842.75954</v>
      </c>
      <c r="F11" s="278">
        <v>0.65278318623078047</v>
      </c>
      <c r="G11" s="43">
        <v>-0.42366759613082972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143046.46331999998</v>
      </c>
      <c r="E12" s="71">
        <v>157855.02333000003</v>
      </c>
      <c r="F12" s="278">
        <v>0.56675967858650667</v>
      </c>
      <c r="G12" s="43">
        <v>0.10352272727549217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7696.7340600000007</v>
      </c>
      <c r="E13" s="47">
        <v>8307.8450200000007</v>
      </c>
      <c r="F13" s="278">
        <v>0.59655842414300031</v>
      </c>
      <c r="G13" s="43">
        <v>7.9398736559698646E-2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1161.2185500000001</v>
      </c>
      <c r="E14" s="71">
        <v>1629.2323100000001</v>
      </c>
      <c r="F14" s="278">
        <v>9.0966779805239373E-2</v>
      </c>
      <c r="G14" s="43">
        <v>0.40303675823986795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58758.667490000007</v>
      </c>
      <c r="E17" s="41">
        <v>99432.856350000016</v>
      </c>
      <c r="F17" s="276">
        <v>0.37213496856635203</v>
      </c>
      <c r="G17" s="42">
        <v>0.69222449380633511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7615.1750199999997</v>
      </c>
      <c r="E18" s="71">
        <v>1055.9685400000001</v>
      </c>
      <c r="F18" s="278">
        <v>9.8533150394620225E-2</v>
      </c>
      <c r="G18" s="43">
        <v>-0.86133364798226264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48794.398390000002</v>
      </c>
      <c r="E19" s="44">
        <v>91900.644750000007</v>
      </c>
      <c r="F19" s="278">
        <v>0.3720983712437303</v>
      </c>
      <c r="G19" s="43">
        <v>0.8834261264062282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8.2813999999999997</v>
      </c>
      <c r="E20" s="71">
        <v>19.09423</v>
      </c>
      <c r="F20" s="278">
        <v>1.2429520895716704</v>
      </c>
      <c r="G20" s="43">
        <v>1.3056765764242759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2340.81268</v>
      </c>
      <c r="E21" s="47">
        <v>6457.1488300000001</v>
      </c>
      <c r="F21" s="278">
        <v>0.68084656579502323</v>
      </c>
      <c r="G21" s="43">
        <v>1.7585072847435193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1036561.39726</v>
      </c>
      <c r="E23" s="287">
        <v>1225698.9194700001</v>
      </c>
      <c r="F23" s="288">
        <v>0.6546451755714886</v>
      </c>
      <c r="G23" s="288">
        <v>0.18246629935280034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topLeftCell="A10" zoomScale="120" zoomScaleNormal="120" workbookViewId="0">
      <selection activeCell="D42" sqref="D42:F4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(janeiro-setembro)","TABLE VI - Regional Gov. expenditure budget execution (january-september)")</f>
        <v>QUADRO VI - Execução orçamental das despesas do Governo Regional (janeiro-setembro)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2023</v>
      </c>
      <c r="E3" s="330">
        <v>2024</v>
      </c>
      <c r="F3" s="153">
        <v>2023</v>
      </c>
      <c r="G3" s="153">
        <v>2024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924551.09273000015</v>
      </c>
      <c r="E5" s="253">
        <v>1006302.7295200003</v>
      </c>
      <c r="F5" s="253">
        <v>65.073147722154587</v>
      </c>
      <c r="G5" s="253">
        <v>62.969897318171121</v>
      </c>
      <c r="H5" s="253">
        <v>8.8423060048098776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318236.24491000012</v>
      </c>
      <c r="E6" s="74">
        <v>339256.95491000009</v>
      </c>
      <c r="F6" s="74">
        <v>71.398879696987365</v>
      </c>
      <c r="G6" s="74">
        <v>68.55740057774166</v>
      </c>
      <c r="H6" s="254">
        <v>6.6053789711931765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257552.08942999999</v>
      </c>
      <c r="E7" s="75">
        <v>269865.32013000007</v>
      </c>
      <c r="F7" s="75">
        <v>72.782417404396398</v>
      </c>
      <c r="G7" s="75">
        <v>69.709351452489159</v>
      </c>
      <c r="H7" s="254">
        <v>4.7808700473954735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5520.3251999999993</v>
      </c>
      <c r="E8" s="75">
        <v>11808.196969999995</v>
      </c>
      <c r="F8" s="75">
        <v>71.662167058297229</v>
      </c>
      <c r="G8" s="75">
        <v>64.891773121086672</v>
      </c>
      <c r="H8" s="254">
        <v>113.90401003911865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55163.830279999995</v>
      </c>
      <c r="E9" s="75">
        <v>57583.43781000001</v>
      </c>
      <c r="F9" s="75">
        <v>65.556542376836504</v>
      </c>
      <c r="G9" s="75">
        <v>64.321133823858261</v>
      </c>
      <c r="H9" s="254">
        <v>4.3862210396170767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121011.31866000014</v>
      </c>
      <c r="E10" s="75">
        <v>122905.11964000008</v>
      </c>
      <c r="F10" s="75">
        <v>60.497140727614209</v>
      </c>
      <c r="G10" s="75">
        <v>52.706189330182397</v>
      </c>
      <c r="H10" s="254">
        <v>1.5649783846425691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84250.470010000048</v>
      </c>
      <c r="E11" s="75">
        <v>92193.057440000019</v>
      </c>
      <c r="F11" s="75">
        <v>56.540659486841619</v>
      </c>
      <c r="G11" s="75">
        <v>65.236457964758515</v>
      </c>
      <c r="H11" s="254">
        <v>9.4273508848760503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383951.98660999991</v>
      </c>
      <c r="E12" s="74">
        <v>428752.10083000013</v>
      </c>
      <c r="F12" s="74">
        <v>65.276550194522258</v>
      </c>
      <c r="G12" s="74">
        <v>63.679464929304729</v>
      </c>
      <c r="H12" s="254">
        <v>11.668155337741757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325400.14410999988</v>
      </c>
      <c r="E13" s="74">
        <v>374949.37907000008</v>
      </c>
      <c r="F13" s="74">
        <v>68.468901194769145</v>
      </c>
      <c r="G13" s="74">
        <v>68.639093141252673</v>
      </c>
      <c r="H13" s="254">
        <v>15.22717056426697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117.78400000000001</v>
      </c>
      <c r="F14" s="74">
        <v>0</v>
      </c>
      <c r="G14" s="74">
        <v>15.131221440436168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325400.14410999988</v>
      </c>
      <c r="E15" s="75">
        <v>374831.5950700001</v>
      </c>
      <c r="F15" s="75">
        <v>68.505947692586787</v>
      </c>
      <c r="G15" s="75">
        <v>68.715450024528067</v>
      </c>
      <c r="H15" s="254">
        <v>15.190973899289414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96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96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58551.842500000021</v>
      </c>
      <c r="E18" s="75">
        <v>53802.721760000015</v>
      </c>
      <c r="F18" s="72">
        <v>51.843152914390465</v>
      </c>
      <c r="G18" s="72">
        <v>42.352631503916335</v>
      </c>
      <c r="H18" s="77">
        <v>-8.1109671997085382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16477.435389999999</v>
      </c>
      <c r="E19" s="72">
        <v>22537.304279999993</v>
      </c>
      <c r="F19" s="72">
        <v>48.610271479879771</v>
      </c>
      <c r="G19" s="72">
        <v>46.19777344784125</v>
      </c>
      <c r="H19" s="77">
        <v>36.776772274146936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623.63715000000002</v>
      </c>
      <c r="E20" s="72">
        <v>658.19242000000042</v>
      </c>
      <c r="F20" s="72">
        <v>15.809350739821374</v>
      </c>
      <c r="G20" s="72">
        <v>9.9329543514975356</v>
      </c>
      <c r="H20" s="77">
        <v>5.540925520553162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840300.6227200001</v>
      </c>
      <c r="E22" s="78">
        <v>914109.67208000028</v>
      </c>
      <c r="F22" s="78">
        <v>66.072861298038504</v>
      </c>
      <c r="G22" s="78">
        <v>62.750014792193284</v>
      </c>
      <c r="H22" s="76">
        <v>8.7836480617002213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102614.00670000003</v>
      </c>
      <c r="E24" s="78">
        <v>90639.543059999938</v>
      </c>
      <c r="F24" s="78">
        <v>34.432427008990757</v>
      </c>
      <c r="G24" s="78">
        <v>28.86954743819598</v>
      </c>
      <c r="H24" s="76">
        <v>-11.669424111864531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69252.732380000045</v>
      </c>
      <c r="E25" s="72">
        <v>66310.607759999941</v>
      </c>
      <c r="F25" s="72">
        <v>32.110466207954126</v>
      </c>
      <c r="G25" s="72">
        <v>34.275358323722358</v>
      </c>
      <c r="H25" s="77">
        <v>-4.2483877803639993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33361.27431999999</v>
      </c>
      <c r="E26" s="59">
        <v>24328.935300000005</v>
      </c>
      <c r="F26" s="59">
        <v>40.513864150252694</v>
      </c>
      <c r="G26" s="59">
        <v>20.531077838207537</v>
      </c>
      <c r="H26" s="77">
        <v>-27.074322561429025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28871.531389999989</v>
      </c>
      <c r="E27" s="59">
        <v>20417.303590000003</v>
      </c>
      <c r="F27" s="59">
        <v>41.894047679456222</v>
      </c>
      <c r="G27" s="59">
        <v>24.934690255165517</v>
      </c>
      <c r="H27" s="77">
        <v>-29.282228524006221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5137.2699899999998</v>
      </c>
      <c r="E28" s="72">
        <v>6449.30825</v>
      </c>
      <c r="F28" s="72">
        <v>85.145882185639749</v>
      </c>
      <c r="G28" s="72">
        <v>96.50919838792899</v>
      </c>
      <c r="H28" s="77">
        <v>25.539601044016774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22995.250949999987</v>
      </c>
      <c r="E29" s="72">
        <v>12820.546990000003</v>
      </c>
      <c r="F29" s="72">
        <v>39.881282115723394</v>
      </c>
      <c r="G29" s="72">
        <v>18.67448479993838</v>
      </c>
      <c r="H29" s="77">
        <v>-44.24697943990035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739.01045000000011</v>
      </c>
      <c r="E30" s="72">
        <v>1147.4483499999999</v>
      </c>
      <c r="F30" s="72">
        <v>14.149579233076848</v>
      </c>
      <c r="G30" s="72">
        <v>17.524200138886492</v>
      </c>
      <c r="H30" s="77">
        <v>55.268217113844564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1027165.0994300002</v>
      </c>
      <c r="E33" s="142">
        <v>1096942.2725800001</v>
      </c>
      <c r="F33" s="143">
        <v>59.760489496625993</v>
      </c>
      <c r="G33" s="143">
        <v>57.370498315348264</v>
      </c>
      <c r="H33" s="141">
        <v>6.793179907370396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18894.362939999999</v>
      </c>
      <c r="E36" s="150">
        <v>10508.396750000002</v>
      </c>
      <c r="F36" s="150">
        <v>18.375411549670591</v>
      </c>
      <c r="G36" s="150">
        <v>53.279459378912122</v>
      </c>
      <c r="H36" s="128">
        <v>-44.383429156251815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173062.58490999998</v>
      </c>
      <c r="E37" s="150">
        <v>184842.05689000001</v>
      </c>
      <c r="F37" s="150">
        <v>66.703739085727094</v>
      </c>
      <c r="G37" s="150">
        <v>70.199188013615185</v>
      </c>
      <c r="H37" s="128">
        <v>6.8064810115518997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D42" sqref="D42:F4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(janeiro-setembro)","TABLE VII - Regional Gov. expenditure by functional classification (january-september)")</f>
        <v>QUADRO VII - Despesa do Governo Regional, por classificação funcional (janeiro-setembro)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2023</v>
      </c>
      <c r="E3" s="333">
        <v>2024</v>
      </c>
      <c r="F3" s="334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152017.44930000018</v>
      </c>
      <c r="E5" s="34">
        <v>165085.09778000007</v>
      </c>
      <c r="F5" s="34">
        <v>15.049570237795768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7712.1560899999968</v>
      </c>
      <c r="E7" s="34">
        <v>8476.5994199999986</v>
      </c>
      <c r="F7" s="34">
        <v>0.77274799521246518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189564.55769999995</v>
      </c>
      <c r="E8" s="34">
        <v>185003.51131999987</v>
      </c>
      <c r="F8" s="34">
        <v>16.865382613514672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12119.821779999997</v>
      </c>
      <c r="E9" s="34">
        <v>17983.507170000012</v>
      </c>
      <c r="F9" s="34">
        <v>1.6394214736298702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62630.569130000003</v>
      </c>
      <c r="E10" s="34">
        <v>47697.246000000028</v>
      </c>
      <c r="F10" s="34">
        <v>4.3482001917764093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276061.31543000002</v>
      </c>
      <c r="E11" s="34">
        <v>324212.55472999986</v>
      </c>
      <c r="F11" s="34">
        <v>29.556027043014272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23791.388359999986</v>
      </c>
      <c r="E12" s="34">
        <v>22283.110189999978</v>
      </c>
      <c r="F12" s="34">
        <v>2.0313840342382181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288059.4312200002</v>
      </c>
      <c r="E13" s="34">
        <v>309717.86113999947</v>
      </c>
      <c r="F13" s="34">
        <v>28.234654537612595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15208.410420000006</v>
      </c>
      <c r="E14" s="34">
        <v>16482.784830000001</v>
      </c>
      <c r="F14" s="34">
        <v>1.5026118732057454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1027165.0994300003</v>
      </c>
      <c r="E17" s="145">
        <v>1096942.2725799992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18894.362939999999</v>
      </c>
      <c r="E20" s="152">
        <v>10508.396750000002</v>
      </c>
      <c r="F20" s="152">
        <v>0.9579717194492231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173062.58490999998</v>
      </c>
      <c r="E21" s="283">
        <v>184842.05689000001</v>
      </c>
      <c r="F21" s="283">
        <v>16.850664024028632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2024-10-31T16:24:29Z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