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Outubro\"/>
    </mc:Choice>
  </mc:AlternateContent>
  <xr:revisionPtr revIDLastSave="0" documentId="8_{E11CC58B-3877-4BD0-870D-03131A49E9D4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D3" i="61"/>
  <c r="C2" i="61"/>
  <c r="D24" i="38"/>
  <c r="C23" i="38"/>
  <c r="D3" i="38"/>
  <c r="C2" i="38"/>
  <c r="C2" i="32"/>
  <c r="C2" i="8"/>
  <c r="C2" i="60"/>
  <c r="A14" i="54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<sst xmlns="http://schemas.openxmlformats.org/spreadsheetml/2006/main" count="132" uniqueCount="113">
  <si>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</si>
  <si>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</si>
  <si>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</si>
  <si>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</si>
  <si>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</si>
  <si>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</si>
  <si>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</si>
  <si>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</si>
  <si>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</si>
  <si>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</si>
  <si>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</si>
  <si>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</si>
  <si>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</si>
  <si>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</si>
  <si>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</si>
  <si>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</si>
  <si>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</si>
  <si>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</si>
  <si>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</si>
  <si>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</si>
  <si>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</si>
  <si>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</si>
  <si>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</si>
  <si>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</si>
  <si>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</si>
  <si>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</si>
  <si>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</si>
  <si>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</si>
  <si>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</si>
  <si>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</si>
  <si>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</si>
  <si>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</si>
  <si>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</si>
  <si>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</si>
  <si>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</si>
  <si>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</si>
  <si>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</si>
  <si>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</si>
  <si>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</si>
  <si>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</si>
  <si>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</si>
  <si>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</si>
  <si>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</si>
  <si>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</si>
  <si>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</si>
  <si>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</si>
  <si>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</si>
  <si>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</si>
  <si>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</si>
  <si>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</si>
  <si>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</si>
  <si>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</si>
  <si>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</si>
  <si>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</si>
  <si>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</si>
  <si>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</si>
  <si>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</si>
  <si>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</si>
  <si>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</si>
  <si>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</si>
  <si>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</si>
  <si>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</si>
  <si>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</si>
  <si>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</si>
  <si>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</si>
  <si>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</si>
  <si>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</si>
  <si>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</si>
  <si>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</si>
  <si>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</si>
  <si>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</si>
  <si>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</si>
  <si>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</si>
  <si>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</si>
  <si>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</si>
  <si>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</si>
  <si>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</si>
  <si>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</si>
  <si>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</si>
  <si>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</si>
  <si>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</si>
  <si>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</si>
  <si>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</si>
  <si>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</si>
  <si>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</si>
  <si>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</si>
  <si>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</si>
  <si>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</si>
  <si>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</si>
  <si>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</si>
  <si>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</si>
  <si>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</si>
  <si>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</si>
  <si>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</si>
  <si>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</si>
  <si>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</si>
  <si>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</si>
  <si>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</si>
  <si>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</si>
  <si>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</si>
  <si>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</si>
  <si>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</si>
  <si>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</si>
  <si>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</si>
  <si>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</si>
  <si>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</si>
  <si>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</si>
  <si>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</si>
  <si>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de Turismo</t>
  </si>
  <si>
    <t>Drpri-Gabinete do Diretor Regional</t>
  </si>
  <si>
    <t>Direção Regional da Saúde</t>
  </si>
  <si>
    <t>Gabinete da Secretária Regional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</si>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</sst>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5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0" fontId="66" fillId="0" borderId="21" xfId="62" applyFont="1" applyBorder="1" applyAlignment="1">
      <alignment horizontal="center" vertical="center"/>
    </xf>
    <xf numFmtId="0" fontId="63" fillId="0" borderId="25" xfId="62" applyFont="1" applyBorder="1" applyAlignment="1">
      <alignment horizont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25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49" fontId="63" fillId="0" borderId="25" xfId="62" applyNumberFormat="1" applyFont="1" applyBorder="1" applyAlignment="1">
      <alignment horizont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S20" sqref="S20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9" sqref="J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TABLE VII - Regional Gov. expenditure by functional classification (january-october)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2021</v>
      </c>
      <c r="E3" s="333">
        <v>2022</v>
      </c>
      <c r="F3" s="334" t="str">
        <f>+IF(Índice!$D$2=1,"Peso na estrutura
 em 2021","Weight in 2021 structure")</f>
        <v>Weight in 2021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123566.54466</v>
      </c>
      <c r="E5" s="34">
        <v>138653.18226000006</v>
      </c>
      <c r="F5" s="34">
        <v>12.485649379806665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8550.5302000000011</v>
      </c>
      <c r="E7" s="34">
        <v>9324.6867099999999</v>
      </c>
      <c r="F7" s="34">
        <v>0.8396833519427287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218876.2156299999</v>
      </c>
      <c r="E8" s="34">
        <v>290621.47230000002</v>
      </c>
      <c r="F8" s="34">
        <v>26.170317523450059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11880.101320000007</v>
      </c>
      <c r="E9" s="34">
        <v>13267.547460000009</v>
      </c>
      <c r="F9" s="34">
        <v>1.1947359809230571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51234.313450000001</v>
      </c>
      <c r="E10" s="34">
        <v>44531.889659999972</v>
      </c>
      <c r="F10" s="34">
        <v>4.0100742835629832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355382.77607000002</v>
      </c>
      <c r="E11" s="34">
        <v>280257.77838000003</v>
      </c>
      <c r="F11" s="34">
        <v>25.237072094419013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24553.876919999999</v>
      </c>
      <c r="E12" s="34">
        <v>23452.949539999991</v>
      </c>
      <c r="F12" s="34">
        <v>2.1119263193659474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284028.67831999995</v>
      </c>
      <c r="E13" s="34">
        <v>296546.51266999933</v>
      </c>
      <c r="F13" s="34">
        <v>26.70386443103051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21298.86278000001</v>
      </c>
      <c r="E14" s="34">
        <v>13844.348620000006</v>
      </c>
      <c r="F14" s="34">
        <v>1.2466766354990273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1099371.8993500001</v>
      </c>
      <c r="E17" s="145">
        <v>1110500.3675999995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32080.041310000004</v>
      </c>
      <c r="E20" s="152">
        <v>32881.897749999996</v>
      </c>
      <c r="F20" s="152">
        <v>2.9609983669851432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168583.35145999998</v>
      </c>
      <c r="E21" s="283">
        <v>442821.64507999999</v>
      </c>
      <c r="F21" s="283">
        <v>39.875866591293523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TABLE VIII - Budget execution by organic and economic cross-classification (january-october)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25</v>
      </c>
    </row>
    <row r="4" spans="2:18" ht="27" customHeight="1">
      <c r="C4" s="253" t="str">
        <f>+IF(Índice!$D$2=1,"Despesa corrente","Current expenditure")</f>
        <v>Current expenditure</v>
      </c>
      <c r="D4" s="194">
        <v>11400</v>
      </c>
      <c r="E4" s="194">
        <v>2099.2293</v>
      </c>
      <c r="F4" s="194">
        <v>314396.86466000002</v>
      </c>
      <c r="G4" s="194">
        <v>33365.691230000004</v>
      </c>
      <c r="H4" s="194">
        <v>125606.17371999999</v>
      </c>
      <c r="I4" s="194">
        <v>283365.69632999995</v>
      </c>
      <c r="J4" s="194">
        <v>31015.837819999993</v>
      </c>
      <c r="K4" s="194">
        <v>21352.378099999998</v>
      </c>
      <c r="L4" s="194">
        <v>13208.002120000001</v>
      </c>
      <c r="M4" s="194">
        <v>5432.5806299999995</v>
      </c>
      <c r="N4" s="194">
        <v>20207.156320000002</v>
      </c>
      <c r="O4" s="194">
        <v>95522.266960000008</v>
      </c>
      <c r="P4" s="194">
        <v>956971.87719000014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1328.75396</v>
      </c>
      <c r="F5" s="196">
        <v>245553.65159000002</v>
      </c>
      <c r="G5" s="196">
        <v>4982.2498800000003</v>
      </c>
      <c r="H5" s="196">
        <v>21379.023840000013</v>
      </c>
      <c r="I5" s="196">
        <v>3830.23461</v>
      </c>
      <c r="J5" s="196">
        <v>8954.2835300000006</v>
      </c>
      <c r="K5" s="196">
        <v>4076.6739700000007</v>
      </c>
      <c r="L5" s="196">
        <v>4319.1336300000003</v>
      </c>
      <c r="M5" s="196">
        <v>4338.6599900000001</v>
      </c>
      <c r="N5" s="196">
        <v>13271.675850000001</v>
      </c>
      <c r="O5" s="196">
        <v>11725.950130000001</v>
      </c>
      <c r="P5" s="196">
        <v>323760.29098000005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1043.8008300000001</v>
      </c>
      <c r="F6" s="198">
        <v>199564.74664000006</v>
      </c>
      <c r="G6" s="198">
        <v>4074.3852199999997</v>
      </c>
      <c r="H6" s="198">
        <v>16867.556610000011</v>
      </c>
      <c r="I6" s="198">
        <v>3046.6017800000004</v>
      </c>
      <c r="J6" s="198">
        <v>7310.3710000000019</v>
      </c>
      <c r="K6" s="198">
        <v>3226.0397500000004</v>
      </c>
      <c r="L6" s="198">
        <v>3549.55386</v>
      </c>
      <c r="M6" s="198">
        <v>3460.1674600000001</v>
      </c>
      <c r="N6" s="198">
        <v>10601.019740000002</v>
      </c>
      <c r="O6" s="198">
        <v>9478.4137100000007</v>
      </c>
      <c r="P6" s="198">
        <v>262222.65660000005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19.901610000000002</v>
      </c>
      <c r="F7" s="198">
        <v>2769.1342100000006</v>
      </c>
      <c r="G7" s="198">
        <v>50.233910000000009</v>
      </c>
      <c r="H7" s="198">
        <v>742.99020000000007</v>
      </c>
      <c r="I7" s="198">
        <v>109.55708999999999</v>
      </c>
      <c r="J7" s="198">
        <v>75.764449999999997</v>
      </c>
      <c r="K7" s="198">
        <v>167.58384999999996</v>
      </c>
      <c r="L7" s="198">
        <v>32.91095</v>
      </c>
      <c r="M7" s="198">
        <v>139.35820999999999</v>
      </c>
      <c r="N7" s="198">
        <v>311.53402</v>
      </c>
      <c r="O7" s="198">
        <v>203.2201</v>
      </c>
      <c r="P7" s="198">
        <v>4622.1886000000013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265.05152000000004</v>
      </c>
      <c r="F8" s="198">
        <v>43219.770739999993</v>
      </c>
      <c r="G8" s="198">
        <v>857.63074999999992</v>
      </c>
      <c r="H8" s="198">
        <v>3768.4770300000005</v>
      </c>
      <c r="I8" s="198">
        <v>674.07573999999988</v>
      </c>
      <c r="J8" s="198">
        <v>1568.1480799999999</v>
      </c>
      <c r="K8" s="198">
        <v>683.05037000000016</v>
      </c>
      <c r="L8" s="198">
        <v>736.66881999999998</v>
      </c>
      <c r="M8" s="198">
        <v>739.13431999999989</v>
      </c>
      <c r="N8" s="198">
        <v>2359.1220900000008</v>
      </c>
      <c r="O8" s="198">
        <v>2044.3163200000001</v>
      </c>
      <c r="P8" s="198">
        <v>56915.44577999998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730.12973999999986</v>
      </c>
      <c r="F9" s="196">
        <v>13216.073849999995</v>
      </c>
      <c r="G9" s="196">
        <v>969.90529000000038</v>
      </c>
      <c r="H9" s="196">
        <v>25360.590609999988</v>
      </c>
      <c r="I9" s="196">
        <v>932.38057000000003</v>
      </c>
      <c r="J9" s="196">
        <v>6549.8989999999994</v>
      </c>
      <c r="K9" s="196">
        <v>347.07182000000006</v>
      </c>
      <c r="L9" s="196">
        <v>996.81111999999996</v>
      </c>
      <c r="M9" s="196">
        <v>850.34189999999955</v>
      </c>
      <c r="N9" s="196">
        <v>2443.03559</v>
      </c>
      <c r="O9" s="196">
        <v>78942.289420000016</v>
      </c>
      <c r="P9" s="196">
        <v>131338.52890999999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81.12948999999999</v>
      </c>
      <c r="F10" s="198">
        <v>6760.4399299999986</v>
      </c>
      <c r="G10" s="198">
        <v>149.94891000000001</v>
      </c>
      <c r="H10" s="198">
        <v>477.55263000000002</v>
      </c>
      <c r="I10" s="198">
        <v>62.781330000000004</v>
      </c>
      <c r="J10" s="198">
        <v>1679.7959699999999</v>
      </c>
      <c r="K10" s="198">
        <v>7.5859300000000003</v>
      </c>
      <c r="L10" s="198">
        <v>26.868120000000001</v>
      </c>
      <c r="M10" s="198">
        <v>70.050730000000016</v>
      </c>
      <c r="N10" s="198">
        <v>436.19962000000004</v>
      </c>
      <c r="O10" s="198">
        <v>1759.9270699999995</v>
      </c>
      <c r="P10" s="198">
        <v>11512.279729999997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649.00024999999982</v>
      </c>
      <c r="F11" s="198">
        <v>6455.6339199999966</v>
      </c>
      <c r="G11" s="198">
        <v>819.95638000000031</v>
      </c>
      <c r="H11" s="198">
        <v>24883.03797999999</v>
      </c>
      <c r="I11" s="198">
        <v>869.59924000000001</v>
      </c>
      <c r="J11" s="198">
        <v>4870.1030299999993</v>
      </c>
      <c r="K11" s="198">
        <v>339.48589000000004</v>
      </c>
      <c r="L11" s="198">
        <v>969.94299999999998</v>
      </c>
      <c r="M11" s="198">
        <v>780.29116999999951</v>
      </c>
      <c r="N11" s="198">
        <v>2006.8359700000001</v>
      </c>
      <c r="O11" s="198">
        <v>77182.36235000001</v>
      </c>
      <c r="P11" s="198">
        <v>119826.24918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11.175270000000001</v>
      </c>
      <c r="G12" s="198">
        <v>0</v>
      </c>
      <c r="H12" s="198">
        <v>74611.511750000005</v>
      </c>
      <c r="I12" s="198">
        <v>8.5100000000000002E-3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78.8553</v>
      </c>
      <c r="P12" s="198">
        <v>74701.898350000003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11400</v>
      </c>
      <c r="E13" s="196">
        <v>40.345600000000005</v>
      </c>
      <c r="F13" s="196">
        <v>55581.739679999999</v>
      </c>
      <c r="G13" s="196">
        <v>7681.09663</v>
      </c>
      <c r="H13" s="196">
        <v>3661.31486</v>
      </c>
      <c r="I13" s="196">
        <v>278597.92806999997</v>
      </c>
      <c r="J13" s="196">
        <v>15505.624869999996</v>
      </c>
      <c r="K13" s="196">
        <v>16928.632309999997</v>
      </c>
      <c r="L13" s="196">
        <v>6908.5978100000011</v>
      </c>
      <c r="M13" s="196">
        <v>72.712490000000003</v>
      </c>
      <c r="N13" s="196">
        <v>4464.9257499999994</v>
      </c>
      <c r="O13" s="196">
        <v>4749.1896999999999</v>
      </c>
      <c r="P13" s="196">
        <v>405592.10777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11400</v>
      </c>
      <c r="E14" s="200">
        <v>0</v>
      </c>
      <c r="F14" s="200">
        <v>13517.422839999999</v>
      </c>
      <c r="G14" s="200">
        <v>7250.71252</v>
      </c>
      <c r="H14" s="200">
        <v>1484.76973</v>
      </c>
      <c r="I14" s="200">
        <v>275813.25306999998</v>
      </c>
      <c r="J14" s="200">
        <v>74.877710000000008</v>
      </c>
      <c r="K14" s="200">
        <v>9700.2969000000012</v>
      </c>
      <c r="L14" s="200">
        <v>6900.0563800000009</v>
      </c>
      <c r="M14" s="200">
        <v>0</v>
      </c>
      <c r="N14" s="200">
        <v>3229.6695399999994</v>
      </c>
      <c r="O14" s="200">
        <v>4611.26127</v>
      </c>
      <c r="P14" s="200">
        <v>333982.31995999999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11400</v>
      </c>
      <c r="E16" s="198">
        <v>0</v>
      </c>
      <c r="F16" s="198">
        <v>13517.422839999999</v>
      </c>
      <c r="G16" s="198">
        <v>7250.71252</v>
      </c>
      <c r="H16" s="198">
        <v>1484.76973</v>
      </c>
      <c r="I16" s="198">
        <v>275613.25306999998</v>
      </c>
      <c r="J16" s="198">
        <v>0</v>
      </c>
      <c r="K16" s="198">
        <v>9700.2969000000012</v>
      </c>
      <c r="L16" s="198">
        <v>6900.0563800000009</v>
      </c>
      <c r="M16" s="198">
        <v>0</v>
      </c>
      <c r="N16" s="198">
        <v>3229.6695399999994</v>
      </c>
      <c r="O16" s="198">
        <v>4611.26127</v>
      </c>
      <c r="P16" s="198">
        <v>333707.44225000002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40.345600000000005</v>
      </c>
      <c r="F19" s="200">
        <v>42064.31684</v>
      </c>
      <c r="G19" s="200">
        <v>430.38411000000002</v>
      </c>
      <c r="H19" s="200">
        <v>2176.54513</v>
      </c>
      <c r="I19" s="200">
        <v>2784.6750000000002</v>
      </c>
      <c r="J19" s="200">
        <v>15430.747159999995</v>
      </c>
      <c r="K19" s="200">
        <v>7228.335409999997</v>
      </c>
      <c r="L19" s="200">
        <v>8.5414300000000001</v>
      </c>
      <c r="M19" s="200">
        <v>72.712490000000003</v>
      </c>
      <c r="N19" s="200">
        <v>1235.25621</v>
      </c>
      <c r="O19" s="200">
        <v>137.92842999999999</v>
      </c>
      <c r="P19" s="200">
        <v>71609.787810000009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13670.636939999991</v>
      </c>
      <c r="G20" s="198">
        <v>335.6</v>
      </c>
      <c r="H20" s="198">
        <v>1747.9021</v>
      </c>
      <c r="I20" s="198">
        <v>0</v>
      </c>
      <c r="J20" s="198">
        <v>98.300000000000011</v>
      </c>
      <c r="K20" s="198">
        <v>0</v>
      </c>
      <c r="L20" s="198">
        <v>0</v>
      </c>
      <c r="M20" s="198">
        <v>0</v>
      </c>
      <c r="N20" s="198">
        <v>497.01</v>
      </c>
      <c r="O20" s="198">
        <v>0</v>
      </c>
      <c r="P20" s="198">
        <v>16349.44903999999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23342.433370000002</v>
      </c>
      <c r="G22" s="198">
        <v>65</v>
      </c>
      <c r="H22" s="198">
        <v>35.49653</v>
      </c>
      <c r="I22" s="198">
        <v>2747.7333100000001</v>
      </c>
      <c r="J22" s="198">
        <v>15065.622829999995</v>
      </c>
      <c r="K22" s="198">
        <v>6704.3084899999967</v>
      </c>
      <c r="L22" s="198">
        <v>0</v>
      </c>
      <c r="M22" s="198">
        <v>58.25</v>
      </c>
      <c r="N22" s="198">
        <v>662.27400000000011</v>
      </c>
      <c r="O22" s="198">
        <v>0</v>
      </c>
      <c r="P22" s="198">
        <v>48705.618529999992</v>
      </c>
    </row>
    <row r="23" spans="2:16" hidden="1">
      <c r="B23" s="195"/>
      <c r="C23" s="104">
        <v>0</v>
      </c>
      <c r="D23" s="198">
        <v>0</v>
      </c>
      <c r="E23" s="198">
        <v>4.8456000000000001</v>
      </c>
      <c r="F23" s="198">
        <v>5047.9465300000002</v>
      </c>
      <c r="G23" s="198">
        <v>29.784110000000005</v>
      </c>
      <c r="H23" s="198">
        <v>374.6825</v>
      </c>
      <c r="I23" s="198">
        <v>36.941689999999994</v>
      </c>
      <c r="J23" s="198">
        <v>241.75932999999998</v>
      </c>
      <c r="K23" s="198">
        <v>524.02692000000002</v>
      </c>
      <c r="L23" s="198">
        <v>8.5414300000000001</v>
      </c>
      <c r="M23" s="198">
        <v>14.462489999999999</v>
      </c>
      <c r="N23" s="198">
        <v>75.97220999999999</v>
      </c>
      <c r="O23" s="198">
        <v>137.92842999999999</v>
      </c>
      <c r="P23" s="198">
        <v>6496.891239999999</v>
      </c>
    </row>
    <row r="24" spans="2:16" hidden="1">
      <c r="B24" s="195"/>
      <c r="C24" s="187">
        <v>0</v>
      </c>
      <c r="D24" s="198">
        <v>0</v>
      </c>
      <c r="E24" s="198">
        <v>11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57.828999999999994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19730.117330000001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150.11413999999994</v>
      </c>
      <c r="N25" s="198">
        <v>9.5643200000000004</v>
      </c>
      <c r="O25" s="198">
        <v>0</v>
      </c>
      <c r="P25" s="198">
        <v>20862.276790000004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34.224270000000004</v>
      </c>
      <c r="G26" s="198">
        <v>2.3220999999999998</v>
      </c>
      <c r="H26" s="198">
        <v>593.73266000000001</v>
      </c>
      <c r="I26" s="198">
        <v>5.1445699999999999</v>
      </c>
      <c r="J26" s="198">
        <v>5.6829000000000001</v>
      </c>
      <c r="K26" s="198">
        <v>0</v>
      </c>
      <c r="L26" s="198">
        <v>10.978560000000002</v>
      </c>
      <c r="M26" s="198">
        <v>20.752110000000002</v>
      </c>
      <c r="N26" s="198">
        <v>17.954810000000002</v>
      </c>
      <c r="O26" s="198">
        <v>25.982410000000002</v>
      </c>
      <c r="P26" s="198">
        <v>716.77439000000004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45</v>
      </c>
      <c r="E27" s="32">
        <v>19.904790000000002</v>
      </c>
      <c r="F27" s="32">
        <v>2070.2594499999996</v>
      </c>
      <c r="G27" s="32">
        <v>60475.372770000002</v>
      </c>
      <c r="H27" s="32">
        <v>2192.5162700000001</v>
      </c>
      <c r="I27" s="32">
        <v>625.91780999999992</v>
      </c>
      <c r="J27" s="32">
        <v>804.24050000000011</v>
      </c>
      <c r="K27" s="32">
        <v>1342.5842600000001</v>
      </c>
      <c r="L27" s="32">
        <v>1362.2647100000002</v>
      </c>
      <c r="M27" s="32">
        <v>252.52450999999999</v>
      </c>
      <c r="N27" s="32">
        <v>6017.0643799999998</v>
      </c>
      <c r="O27" s="32">
        <v>78320.840959999987</v>
      </c>
      <c r="P27" s="32">
        <v>153528.49041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19.904790000000002</v>
      </c>
      <c r="F28" s="198">
        <v>1042.5788199999997</v>
      </c>
      <c r="G28" s="198">
        <v>81.569320000000005</v>
      </c>
      <c r="H28" s="198">
        <v>1630.41282</v>
      </c>
      <c r="I28" s="198">
        <v>4.4584999999999999</v>
      </c>
      <c r="J28" s="198">
        <v>785.49050000000011</v>
      </c>
      <c r="K28" s="198">
        <v>51.714500000000001</v>
      </c>
      <c r="L28" s="198">
        <v>47.842379999999999</v>
      </c>
      <c r="M28" s="198">
        <v>135.17956999999998</v>
      </c>
      <c r="N28" s="198">
        <v>349.58780999999999</v>
      </c>
      <c r="O28" s="198">
        <v>68812.527859999987</v>
      </c>
      <c r="P28" s="198">
        <v>72961.266869999992</v>
      </c>
    </row>
    <row r="29" spans="2:16" ht="15" customHeight="1">
      <c r="C29" s="104" t="str">
        <f>+IF(Índice!$D$2=1,"Transferências capital","Capital transfers")</f>
        <v>Capital transfers</v>
      </c>
      <c r="D29" s="196">
        <v>45</v>
      </c>
      <c r="E29" s="196">
        <v>0</v>
      </c>
      <c r="F29" s="196">
        <v>1027.6806299999998</v>
      </c>
      <c r="G29" s="196">
        <v>60393.803449999999</v>
      </c>
      <c r="H29" s="196">
        <v>562.10345000000007</v>
      </c>
      <c r="I29" s="196">
        <v>621.45930999999996</v>
      </c>
      <c r="J29" s="196">
        <v>18.75</v>
      </c>
      <c r="K29" s="196">
        <v>1290.86976</v>
      </c>
      <c r="L29" s="196">
        <v>1314.4223300000001</v>
      </c>
      <c r="M29" s="196">
        <v>117.34494000000001</v>
      </c>
      <c r="N29" s="196">
        <v>5667.4765699999998</v>
      </c>
      <c r="O29" s="196">
        <v>9508.3131000000012</v>
      </c>
      <c r="P29" s="196">
        <v>80567.223540000006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45</v>
      </c>
      <c r="E30" s="200">
        <v>0</v>
      </c>
      <c r="F30" s="200">
        <v>777.58435999999995</v>
      </c>
      <c r="G30" s="200">
        <v>60393.803449999999</v>
      </c>
      <c r="H30" s="200">
        <v>562.10345000000007</v>
      </c>
      <c r="I30" s="200">
        <v>621.45930999999996</v>
      </c>
      <c r="J30" s="200">
        <v>0</v>
      </c>
      <c r="K30" s="200">
        <v>50.869759999999999</v>
      </c>
      <c r="L30" s="200">
        <v>181.02176000000003</v>
      </c>
      <c r="M30" s="200">
        <v>117.34494000000001</v>
      </c>
      <c r="N30" s="200">
        <v>5667.4765699999998</v>
      </c>
      <c r="O30" s="200">
        <v>3661.8648900000003</v>
      </c>
      <c r="P30" s="200">
        <v>72078.528490000012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117.34494000000001</v>
      </c>
      <c r="N31" s="198">
        <v>5051.6057700000001</v>
      </c>
      <c r="O31" s="198">
        <v>0</v>
      </c>
      <c r="P31" s="198">
        <v>5168.9507100000001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45</v>
      </c>
      <c r="E32" s="198">
        <v>0</v>
      </c>
      <c r="F32" s="198">
        <v>777.58435999999995</v>
      </c>
      <c r="G32" s="198">
        <v>60393.803449999999</v>
      </c>
      <c r="H32" s="198">
        <v>26.654110000000003</v>
      </c>
      <c r="I32" s="198">
        <v>621.45930999999996</v>
      </c>
      <c r="J32" s="198">
        <v>0</v>
      </c>
      <c r="K32" s="198">
        <v>50.869759999999999</v>
      </c>
      <c r="L32" s="198">
        <v>181.02176000000003</v>
      </c>
      <c r="M32" s="198">
        <v>0</v>
      </c>
      <c r="N32" s="198">
        <v>615.87079999999992</v>
      </c>
      <c r="O32" s="198">
        <v>3661.8648900000003</v>
      </c>
      <c r="P32" s="198">
        <v>66374.12844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535.44934000000001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535.44934000000001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250.09627</v>
      </c>
      <c r="G35" s="200">
        <v>0</v>
      </c>
      <c r="H35" s="200">
        <v>0</v>
      </c>
      <c r="I35" s="200">
        <v>0</v>
      </c>
      <c r="J35" s="200">
        <v>18.75</v>
      </c>
      <c r="K35" s="200">
        <v>1240</v>
      </c>
      <c r="L35" s="200">
        <v>1133.40057</v>
      </c>
      <c r="M35" s="200">
        <v>0</v>
      </c>
      <c r="N35" s="200">
        <v>0</v>
      </c>
      <c r="O35" s="200">
        <v>5846.4482100000014</v>
      </c>
      <c r="P35" s="200">
        <v>8488.6950500000021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11445</v>
      </c>
      <c r="E38" s="204">
        <v>2119.13409</v>
      </c>
      <c r="F38" s="204">
        <v>316467.12411000003</v>
      </c>
      <c r="G38" s="204">
        <v>93841.064000000013</v>
      </c>
      <c r="H38" s="204">
        <v>127798.68998999998</v>
      </c>
      <c r="I38" s="204">
        <v>283991.61413999996</v>
      </c>
      <c r="J38" s="204">
        <v>31820.078319999993</v>
      </c>
      <c r="K38" s="204">
        <v>22694.962359999998</v>
      </c>
      <c r="L38" s="204">
        <v>14570.26683</v>
      </c>
      <c r="M38" s="204">
        <v>5685.1051399999997</v>
      </c>
      <c r="N38" s="204">
        <v>26224.220700000002</v>
      </c>
      <c r="O38" s="204">
        <v>173843.10791999998</v>
      </c>
      <c r="P38" s="204">
        <v>1110500.3676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7464.5148300000001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14765.754739999998</v>
      </c>
      <c r="P40" s="208">
        <v>32881.897749999996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442821.64507999999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442821.64507999999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120025.33472000001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Note: Organic structure approved by Regional Legislative Decree nr. 18/2020/M of December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9" sqref="J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TABLE IX - RPEs global balance (january-october)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1289.1823799998965</v>
      </c>
      <c r="E5" s="82">
        <v>5499.1476900000707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(janeiro-outubro)","TABLE X - ASFs and RPEs budget execution (january-october)")</f>
        <v>TABLE X - ASFs and RPEs budget execution (january-october)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22935.243049999932</v>
      </c>
      <c r="E4" s="98">
        <v>5499.1476900000707</v>
      </c>
      <c r="F4" s="98">
        <v>28434.390740000003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414166.22076</v>
      </c>
      <c r="E7" s="74">
        <v>265493.54053999996</v>
      </c>
      <c r="F7" s="74">
        <v>679659.7612999999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23145.709219999932</v>
      </c>
      <c r="E8" s="74">
        <v>8579.3231900000701</v>
      </c>
      <c r="F8" s="74">
        <v>31725.032410000003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11701.675409999909</v>
      </c>
      <c r="E9" s="74">
        <v>-14608.804259999917</v>
      </c>
      <c r="F9" s="74">
        <v>-2907.1288500000956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11233.567640000037</v>
      </c>
      <c r="E10" s="74">
        <v>20107.951949999995</v>
      </c>
      <c r="F10" s="74">
        <v>31341.51959000004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(janeiro-outubro)","TABLE XI - ASFs and RPEs budget execution (january-october)")</f>
        <v>TABLE XI - ASFs and RPEs budget execution (january-october)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357933.19004999992</v>
      </c>
      <c r="E4" s="108">
        <v>242622.94237000006</v>
      </c>
      <c r="F4" s="108">
        <v>600556.13241999992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3019.1927899999987</v>
      </c>
      <c r="E8" s="74">
        <v>5686.0614799999994</v>
      </c>
      <c r="F8" s="74">
        <v>8705.2542699999976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351047.78087999992</v>
      </c>
      <c r="E9" s="74">
        <v>208783.34789000003</v>
      </c>
      <c r="F9" s="74">
        <v>559831.12876999995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22802.867150000005</v>
      </c>
      <c r="E10" s="74">
        <v>2473.9185200000002</v>
      </c>
      <c r="F10" s="74">
        <v>25276.785670000005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327615.79375999991</v>
      </c>
      <c r="E11" s="74">
        <v>205282.46316000001</v>
      </c>
      <c r="F11" s="74">
        <v>532898.25691999996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2778.2065299999999</v>
      </c>
      <c r="E12" s="74">
        <v>12971.719020000006</v>
      </c>
      <c r="F12" s="74">
        <v>15749.925550000005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1088.0098499999999</v>
      </c>
      <c r="E13" s="74">
        <v>15181.813980000001</v>
      </c>
      <c r="F13" s="74">
        <v>16269.823830000001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79378.73993000004</v>
      </c>
      <c r="E14" s="83">
        <v>31449.92136</v>
      </c>
      <c r="F14" s="83">
        <v>110828.66129000005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320.62190000000004</v>
      </c>
      <c r="F15" s="34">
        <v>320.62190000000004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79224.589720000033</v>
      </c>
      <c r="E16" s="34">
        <v>30984.17137</v>
      </c>
      <c r="F16" s="74">
        <v>110208.76109000003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20340.568589999995</v>
      </c>
      <c r="E17" s="34">
        <v>23413.416799999999</v>
      </c>
      <c r="F17" s="74">
        <v>43753.985389999994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58884.021130000037</v>
      </c>
      <c r="E18" s="74">
        <v>7570.754570000001</v>
      </c>
      <c r="F18" s="74">
        <v>66454.775700000042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42.884149999999998</v>
      </c>
      <c r="F19" s="74">
        <v>42.884149999999998</v>
      </c>
    </row>
    <row r="20" spans="2:6" ht="11.25" customHeight="1">
      <c r="C20" s="110" t="str">
        <f>+IF(Índice!$D$2=1,"Receita efetiva","Effective revenue")</f>
        <v>Effective revenue</v>
      </c>
      <c r="D20" s="83">
        <v>437311.92997999996</v>
      </c>
      <c r="E20" s="83">
        <v>274072.86373000004</v>
      </c>
      <c r="F20" s="83">
        <v>711384.79371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346231.51464000001</v>
      </c>
      <c r="E22" s="83">
        <v>257231.74662999998</v>
      </c>
      <c r="F22" s="83">
        <v>603463.26127000002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38513.118539999996</v>
      </c>
      <c r="E23" s="74">
        <v>180825.80337000001</v>
      </c>
      <c r="F23" s="74">
        <v>219338.92191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74667.072690000074</v>
      </c>
      <c r="E24" s="74">
        <v>60722.756169999957</v>
      </c>
      <c r="F24" s="74">
        <v>135389.82886000004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210.46617000000003</v>
      </c>
      <c r="E25" s="74">
        <v>3080.1754999999998</v>
      </c>
      <c r="F25" s="74">
        <v>3290.64167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226355.81204999992</v>
      </c>
      <c r="E26" s="74">
        <v>10407.817419999996</v>
      </c>
      <c r="F26" s="74">
        <v>236763.62946999993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1574.1102300000002</v>
      </c>
      <c r="E27" s="74">
        <v>0</v>
      </c>
      <c r="F27" s="59">
        <v>1574.1102300000002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224781.70181999993</v>
      </c>
      <c r="E28" s="74">
        <v>10407.817419999996</v>
      </c>
      <c r="F28" s="59">
        <v>235189.51923999994</v>
      </c>
    </row>
    <row r="29" spans="2:6" ht="11.25" customHeight="1">
      <c r="C29" s="104" t="str">
        <f>+IF(Índice!$D$2=1,"Subsídios","Subsidies")</f>
        <v>Subsidies</v>
      </c>
      <c r="D29" s="74">
        <v>6400.6497700000027</v>
      </c>
      <c r="E29" s="74">
        <v>7.8057799999999995</v>
      </c>
      <c r="F29" s="74">
        <v>6408.4555500000024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84.395420000000001</v>
      </c>
      <c r="E30" s="74">
        <v>2187.3883900000001</v>
      </c>
      <c r="F30" s="74">
        <v>2271.7838099999999</v>
      </c>
    </row>
    <row r="31" spans="2:6" ht="11.25" customHeight="1">
      <c r="C31" s="110" t="str">
        <f>+IF(Índice!$D$2=1,"Despesa de capital","Capital expenditure")</f>
        <v>Capital expenditure</v>
      </c>
      <c r="D31" s="83">
        <v>68145.172290000002</v>
      </c>
      <c r="E31" s="83">
        <v>11341.969410000003</v>
      </c>
      <c r="F31" s="83">
        <v>79487.141700000007</v>
      </c>
    </row>
    <row r="32" spans="2:6" ht="11.25" customHeight="1">
      <c r="C32" s="104" t="str">
        <f>+IF(Índice!$D$2=1,"Investimento","Investment")</f>
        <v>Investment</v>
      </c>
      <c r="D32" s="74">
        <v>2262.1995300000003</v>
      </c>
      <c r="E32" s="74">
        <v>11067.910800000003</v>
      </c>
      <c r="F32" s="74">
        <v>13330.110330000003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65882.972760000004</v>
      </c>
      <c r="E33" s="74">
        <v>274.05860999999999</v>
      </c>
      <c r="F33" s="74">
        <v>66157.031369999997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414376.68693000003</v>
      </c>
      <c r="E36" s="83">
        <v>268573.71603999997</v>
      </c>
      <c r="F36" s="83">
        <v>682950.40296999994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2957.5526700000005</v>
      </c>
      <c r="E38" s="35">
        <v>426.64684999999997</v>
      </c>
      <c r="F38" s="35">
        <v>3384.1995200000006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23146.491329999997</v>
      </c>
      <c r="F39" s="35">
        <v>23146.491329999997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22935.243049999932</v>
      </c>
      <c r="E44" s="114">
        <v>5499.1476900000707</v>
      </c>
      <c r="F44" s="114">
        <v>28434.390740000003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2"/>
  </cols>
  <sheetData>
    <row r="1" spans="2:8">
      <c r="C1" s="302"/>
    </row>
    <row r="2" spans="2:8" ht="12.75">
      <c r="B2" s="16"/>
      <c r="C2" s="303" t="str">
        <f>+IF(Índice!$D$2=1,"QUADRO XII - Execução orçamental dos Serviços e Fundos Autónomos e EPR (outubro)","TABLE XII - ASFs and RPEs budget execution (october)")</f>
        <v>TABLE XII - ASFs and RPEs budget execution (october)</v>
      </c>
      <c r="D2" s="304"/>
      <c r="E2" s="304"/>
      <c r="F2" s="305" t="str">
        <f>+IF(Índice!$D$2=1,"€ Milhares","€ Thousands")</f>
        <v>€ Thousands</v>
      </c>
      <c r="H2" s="286" t="str">
        <f>+IF(Índice!$D$2=1,"índice","Index")</f>
        <v>Index</v>
      </c>
    </row>
    <row r="3" spans="2:8" ht="12.75">
      <c r="B3" s="16"/>
      <c r="C3" s="306"/>
      <c r="D3" s="307" t="str">
        <f>+IF(Índice!$D$2=1,"outubro 2022","october 2022")</f>
        <v>october 2022</v>
      </c>
      <c r="E3" s="308"/>
      <c r="F3" s="309"/>
      <c r="H3" s="310"/>
    </row>
    <row r="4" spans="2:8" ht="35.1" customHeight="1">
      <c r="C4" s="106"/>
      <c r="D4" s="311" t="str">
        <f>+IF(Índice!$D$2=1,"SFA execução mensal","ASF monthly execution")</f>
        <v>ASF monthly execution</v>
      </c>
      <c r="E4" s="312" t="str">
        <f>+IF(Índice!$D$2=1,"EPR execução mensal","RPE monthly execution")</f>
        <v>RPE monthly execution</v>
      </c>
      <c r="F4" s="313" t="str">
        <f>+IF(Índice!$D$2=1,"Total","Total")</f>
        <v>Total</v>
      </c>
    </row>
    <row r="5" spans="2:8" ht="12" customHeight="1">
      <c r="C5" s="314" t="str">
        <f>+IF(Índice!$D$2=1,"Receita corrente","Current revenue")</f>
        <v>Current revenue</v>
      </c>
      <c r="D5" s="315">
        <v>27480.091480000003</v>
      </c>
      <c r="E5" s="315">
        <v>27369.952550000016</v>
      </c>
      <c r="F5" s="315">
        <v>54850.044030000019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27480.091480000003</v>
      </c>
      <c r="E9" s="74">
        <v>27369.952550000016</v>
      </c>
      <c r="F9" s="74">
        <v>54850.044030000019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26790.570870000003</v>
      </c>
      <c r="E10" s="74">
        <v>23775.495550000011</v>
      </c>
      <c r="F10" s="74">
        <v>50566.066420000017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7748.1715000000304</v>
      </c>
      <c r="E11" s="83">
        <v>1255.8252899999936</v>
      </c>
      <c r="F11" s="83">
        <v>9003.9967900000247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1.3720800000000164</v>
      </c>
      <c r="F12" s="34">
        <v>1.3720800000000164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7744.0002500000301</v>
      </c>
      <c r="E13" s="34">
        <v>1217.5488699999935</v>
      </c>
      <c r="F13" s="74">
        <v>8961.5491200000233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35228.262980000036</v>
      </c>
      <c r="E15" s="83">
        <v>28625.77784000001</v>
      </c>
      <c r="F15" s="83">
        <v>63854.040820000046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33595.763170000057</v>
      </c>
      <c r="E17" s="83">
        <v>22978.581800000076</v>
      </c>
      <c r="F17" s="83">
        <v>56574.344970000137</v>
      </c>
    </row>
    <row r="18" spans="3:6" ht="11.25" customHeight="1">
      <c r="C18" s="104" t="str">
        <f>+IF(Índice!$D$2=1,"Consumo público","Public consumption")</f>
        <v>Public consumption</v>
      </c>
      <c r="D18" s="74">
        <v>9695.5676600000697</v>
      </c>
      <c r="E18" s="74">
        <v>21904.330040000084</v>
      </c>
      <c r="F18" s="74">
        <v>31599.897700000154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3485.9337600000126</v>
      </c>
      <c r="E19" s="74">
        <v>16601.515270000102</v>
      </c>
      <c r="F19" s="74">
        <v>20087.449030000113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6209.6339000000571</v>
      </c>
      <c r="E20" s="74">
        <v>5302.8147699999836</v>
      </c>
      <c r="F20" s="74">
        <v>11512.448670000042</v>
      </c>
    </row>
    <row r="21" spans="3:6" ht="11.25" customHeight="1">
      <c r="C21" s="104" t="str">
        <f>+IF(Índice!$D$2=1,"Subsídios","Subsidies")</f>
        <v>Subsidies</v>
      </c>
      <c r="D21" s="74">
        <v>464.36225000000093</v>
      </c>
      <c r="E21" s="74">
        <v>0.57613999999999943</v>
      </c>
      <c r="F21" s="74">
        <v>464.93839000000094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117.55887000000004</v>
      </c>
      <c r="E22" s="74">
        <v>11.944799999999814</v>
      </c>
      <c r="F22" s="59">
        <v>129.50366999999986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23318.274389999984</v>
      </c>
      <c r="E23" s="74">
        <v>1061.7308199999909</v>
      </c>
      <c r="F23" s="59">
        <v>24380.005209999974</v>
      </c>
    </row>
    <row r="24" spans="3:6" ht="11.25" customHeight="1">
      <c r="C24" s="110" t="str">
        <f>+IF(Índice!$D$2=1,"Despesa de capital","Capital expenditure")</f>
        <v>Capital expenditure</v>
      </c>
      <c r="D24" s="83">
        <v>6110.3572500000046</v>
      </c>
      <c r="E24" s="83">
        <v>1640.034489999998</v>
      </c>
      <c r="F24" s="83">
        <v>7750.3917400000028</v>
      </c>
    </row>
    <row r="25" spans="3:6" ht="11.25" customHeight="1">
      <c r="C25" s="104" t="str">
        <f>+IF(Índice!$D$2=1,"Investimento","Investment")</f>
        <v>Investment</v>
      </c>
      <c r="D25" s="74">
        <v>293.10345000000041</v>
      </c>
      <c r="E25" s="74">
        <v>1639.8706799999979</v>
      </c>
      <c r="F25" s="74">
        <v>1932.9741299999982</v>
      </c>
    </row>
    <row r="26" spans="3:6" ht="11.25" customHeight="1">
      <c r="C26" s="104" t="str">
        <f>+IF(Índice!$D$2=1,"Transferências capital","Capital transfers")</f>
        <v>Capital transfers</v>
      </c>
      <c r="D26" s="74">
        <v>5817.253800000004</v>
      </c>
      <c r="E26" s="74">
        <v>0.16380999999999768</v>
      </c>
      <c r="F26" s="74">
        <v>5817.4176100000041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39706.120420000065</v>
      </c>
      <c r="E29" s="83">
        <v>24618.616290000075</v>
      </c>
      <c r="F29" s="83">
        <v>64324.736710000143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6" t="str">
        <f>+IF(Índice!$D$2=1,"Saldo global","Overall balance")</f>
        <v>Overall balance</v>
      </c>
      <c r="D31" s="317">
        <v>22935.243049999932</v>
      </c>
      <c r="E31" s="317">
        <v>5499.1476900000707</v>
      </c>
      <c r="F31" s="317">
        <v>28434.390740000003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18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2022 (valores acumulados)","Table XIII- Accounts payable of the Regional Administration, october (accumulated)")</f>
        <v>Table XIII- Accounts payable of the Regional Administration, october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27</v>
      </c>
      <c r="D3" s="339" t="str">
        <f>+IF(Índice!$D$2=1,"outubro 2022","october 2022")</f>
        <v>october 2022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108236270.81000014</v>
      </c>
      <c r="E6" s="162">
        <v>95072802.890000135</v>
      </c>
      <c r="F6" s="162">
        <v>14078454.800000008</v>
      </c>
      <c r="G6" s="91">
        <v>0.85070830618527782</v>
      </c>
      <c r="H6" s="91">
        <v>1.052075805086274</v>
      </c>
      <c r="I6" s="116">
        <v>0.2843104721744103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6244498.4199999999</v>
      </c>
      <c r="E7" s="165">
        <v>5546819.7400000012</v>
      </c>
      <c r="F7" s="165">
        <v>8833.31</v>
      </c>
      <c r="G7" s="95">
        <v>7.4835218499752933</v>
      </c>
      <c r="H7" s="95">
        <v>31.85120821099607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70130749.600000128</v>
      </c>
      <c r="E8" s="165">
        <v>69366025.240000129</v>
      </c>
      <c r="F8" s="165">
        <v>13599178.99000001</v>
      </c>
      <c r="G8" s="95">
        <v>0.7694655468645315</v>
      </c>
      <c r="H8" s="95">
        <v>0.87453614891328701</v>
      </c>
      <c r="I8" s="121">
        <v>0.29639133235488657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24194750.77</v>
      </c>
      <c r="E9" s="165">
        <v>17857958.690000001</v>
      </c>
      <c r="F9" s="165">
        <v>322075.35000000009</v>
      </c>
      <c r="G9" s="95">
        <v>1.1382072587952012</v>
      </c>
      <c r="H9" s="95">
        <v>2.835426557979301</v>
      </c>
      <c r="I9" s="121">
        <v>3.9211166013153331E-4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6993945.4099999992</v>
      </c>
      <c r="E10" s="165">
        <v>1646330.0799999998</v>
      </c>
      <c r="F10" s="165">
        <v>148357.15</v>
      </c>
      <c r="G10" s="95">
        <v>6.6543930606505652E-2</v>
      </c>
      <c r="H10" s="95">
        <v>-0.61694341826467625</v>
      </c>
      <c r="I10" s="121">
        <v>-4.4408920985006262E-16</v>
      </c>
    </row>
    <row r="11" spans="2:11">
      <c r="B11" s="29"/>
      <c r="C11" s="120" t="str">
        <f>+IF(Índice!$D$2=1,"Subsídios","Subsidies")</f>
        <v>Subsidies</v>
      </c>
      <c r="D11" s="165">
        <v>465899.87</v>
      </c>
      <c r="E11" s="165">
        <v>464034.37</v>
      </c>
      <c r="F11" s="165">
        <v>0</v>
      </c>
      <c r="G11" s="95">
        <v>1.8601791311228895</v>
      </c>
      <c r="H11" s="95">
        <v>1.8487267472252298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206426.74</v>
      </c>
      <c r="E12" s="165">
        <v>191634.76999999996</v>
      </c>
      <c r="F12" s="165">
        <v>10</v>
      </c>
      <c r="G12" s="95">
        <v>1.6512812095263194</v>
      </c>
      <c r="H12" s="95">
        <v>3.7878971628361695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49111212.329999991</v>
      </c>
      <c r="E13" s="163">
        <v>32721294</v>
      </c>
      <c r="F13" s="163">
        <v>763335.02</v>
      </c>
      <c r="G13" s="92">
        <v>0.16422588073819688</v>
      </c>
      <c r="H13" s="92">
        <v>0.43992044349309634</v>
      </c>
      <c r="I13" s="117">
        <v>5.1597048706319573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26530611.659999996</v>
      </c>
      <c r="E14" s="165">
        <v>16617948.300000001</v>
      </c>
      <c r="F14" s="165">
        <v>763335.02</v>
      </c>
      <c r="G14" s="95">
        <v>0.35939356769736186</v>
      </c>
      <c r="H14" s="95">
        <v>1.5901850435323572</v>
      </c>
      <c r="I14" s="121">
        <v>5.1597048706319573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22580600.670000002</v>
      </c>
      <c r="E15" s="165">
        <v>16103345.699999999</v>
      </c>
      <c r="F15" s="165">
        <v>0</v>
      </c>
      <c r="G15" s="95">
        <v>-3.8148429597854028E-3</v>
      </c>
      <c r="H15" s="95">
        <v>-1.2587974220351517E-2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157347483.14000013</v>
      </c>
      <c r="E17" s="164">
        <v>127794096.89000013</v>
      </c>
      <c r="F17" s="164">
        <v>14841789.820000008</v>
      </c>
      <c r="G17" s="147">
        <v>0.56304497629935724</v>
      </c>
      <c r="H17" s="147">
        <v>0.85062824025453998</v>
      </c>
      <c r="I17" s="148">
        <v>0.33881064985967568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117276694.04999998</v>
      </c>
      <c r="E19" s="164">
        <v>87735955.25999999</v>
      </c>
      <c r="F19" s="164">
        <v>2207207.2199999988</v>
      </c>
      <c r="G19" s="147">
        <v>0.72506572142897352</v>
      </c>
      <c r="H19" s="147">
        <v>1.1598766493363595</v>
      </c>
      <c r="I19" s="148">
        <v>-8.295445083892472E-2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2022 (valores acumulados)","Table XIV - Accounts payable of the Regional Gov., october (accumulated)")</f>
        <v>Table XIV - Accounts payable of the Regional Gov., october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47" t="str">
        <f>+IF(Índice!$D$2=1,"outubro 2022","october 2022")</f>
        <v>october 2022</v>
      </c>
      <c r="E24" s="347" t="str">
        <f>+IF(Índice!$D$2="PT","janeiro 2020","January")</f>
        <v>January</v>
      </c>
      <c r="F24" s="347" t="str">
        <f>+IF(Índice!$D$2="PT","janeiro 2020","January")</f>
        <v>January</v>
      </c>
      <c r="G24" s="340" t="str">
        <f>+IF(Índice!$D$2=1,"Variação face ao stock inicial de janeiro","Change from period initial stock")</f>
        <v>Change from period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37450682.509999998</v>
      </c>
      <c r="E27" s="162">
        <v>29221953.630000003</v>
      </c>
      <c r="F27" s="162">
        <v>1116221.71</v>
      </c>
      <c r="G27" s="91">
        <v>1.5342289501539357</v>
      </c>
      <c r="H27" s="91">
        <v>2.1167834801040768</v>
      </c>
      <c r="I27" s="116">
        <v>-0.15173120868299095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37207538.209999993</v>
      </c>
      <c r="E28" s="163">
        <v>29534754.880000003</v>
      </c>
      <c r="F28" s="163">
        <v>630</v>
      </c>
      <c r="G28" s="92">
        <v>0.25121795084761867</v>
      </c>
      <c r="H28" s="172">
        <v>0.39487382462916942</v>
      </c>
      <c r="I28" s="117">
        <v>0</v>
      </c>
    </row>
    <row r="29" spans="2:9" ht="20.100000000000001" customHeight="1">
      <c r="B29" s="29"/>
      <c r="C29" s="146" t="s">
        <v>27</v>
      </c>
      <c r="D29" s="164">
        <v>74658220.719999999</v>
      </c>
      <c r="E29" s="164">
        <v>58756708.510000005</v>
      </c>
      <c r="F29" s="164">
        <v>1116851.71</v>
      </c>
      <c r="G29" s="147">
        <v>0.67714765995008941</v>
      </c>
      <c r="H29" s="147">
        <v>0.9233305782807204</v>
      </c>
      <c r="I29" s="148">
        <v>-0.15165859965630879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8" t="str">
        <f>+IF(Índice!$D$2=1,"Serviços e Fundos Autónomos","Autonomous Services and Funds")</f>
        <v>Autonomous Services and Funds</v>
      </c>
      <c r="D33" s="347" t="str">
        <f>+IF(Índice!$D$2=1,"agosto 2022","august 2022")</f>
        <v>august 2022</v>
      </c>
      <c r="E33" s="347" t="str">
        <f>+IF(Índice!$D$2="PT","janeiro 2020","January")</f>
        <v>January</v>
      </c>
      <c r="F33" s="347" t="str">
        <f>+IF(Índice!$D$2="PT","janeiro 2020","January")</f>
        <v>January</v>
      </c>
      <c r="G33" s="340" t="str">
        <f>+IF(Índice!$D$2=1,"Variação face ao stock inicial de janeiro","Change from period initial stock")</f>
        <v>Change from period initial stock</v>
      </c>
      <c r="H33" s="341"/>
      <c r="I33" s="341"/>
    </row>
    <row r="34" spans="2:9" ht="12.75" customHeight="1">
      <c r="C34" s="349"/>
      <c r="D34" s="351" t="str">
        <f>+IF(Índice!$D$2=1,"Stock final do período","Accumulated")</f>
        <v>Accumulated</v>
      </c>
      <c r="E34" s="352"/>
      <c r="F34" s="353"/>
      <c r="G34" s="354" t="str">
        <f>+IF(Índice!$D$2=1,"Passivo","Liabilities")</f>
        <v>Liabilities</v>
      </c>
      <c r="H34" s="354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50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24580956.470000003</v>
      </c>
      <c r="E36" s="162">
        <v>23935877.969999999</v>
      </c>
      <c r="F36" s="162">
        <v>1090355.51</v>
      </c>
      <c r="G36" s="91">
        <v>2.6312957809195043</v>
      </c>
      <c r="H36" s="91">
        <v>2.9884430225131196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398168.36</v>
      </c>
      <c r="E37" s="163">
        <v>398168.36</v>
      </c>
      <c r="F37" s="163">
        <v>0</v>
      </c>
      <c r="G37" s="92">
        <v>11.351617889616403</v>
      </c>
      <c r="H37" s="92">
        <v>11.351617889616403</v>
      </c>
      <c r="I37" s="117">
        <v>0</v>
      </c>
    </row>
    <row r="38" spans="2:9" ht="20.100000000000001" customHeight="1">
      <c r="C38" s="146" t="s">
        <v>27</v>
      </c>
      <c r="D38" s="164">
        <v>24979124.830000002</v>
      </c>
      <c r="E38" s="164">
        <v>24334046.329999998</v>
      </c>
      <c r="F38" s="164">
        <v>1090355.51</v>
      </c>
      <c r="G38" s="147">
        <v>2.6726266934166381</v>
      </c>
      <c r="H38" s="147">
        <v>3.033125940770538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8" t="str">
        <f>+IF(Índice!$D$2=1,"Entidades Públicas Reclassseicadas","Reclassseied Public Entities")</f>
        <v>Reclassseied Public Entities</v>
      </c>
      <c r="D42" s="347" t="str">
        <f>+IF(Índice!$D$2=1,"agosto 2022","august 2022")</f>
        <v>august 2022</v>
      </c>
      <c r="E42" s="347" t="str">
        <f>+IF(Índice!$D$2="PT","janeiro 2020","January")</f>
        <v>January</v>
      </c>
      <c r="F42" s="347" t="str">
        <f>+IF(Índice!$D$2="PT","janeiro 2020","January")</f>
        <v>January</v>
      </c>
      <c r="G42" s="340" t="str">
        <f>+IF(Índice!$D$2=1,"Variação face ao stock inicial de janeiro","Change from period initial stock")</f>
        <v>Change from period initial stock</v>
      </c>
      <c r="H42" s="341"/>
      <c r="I42" s="341"/>
    </row>
    <row r="43" spans="2:9" ht="12.75" customHeight="1">
      <c r="C43" s="349"/>
      <c r="D43" s="351" t="str">
        <f>+IF(Índice!$D$2=1,"Stock final do período","Accumulated")</f>
        <v>Accumulated</v>
      </c>
      <c r="E43" s="352"/>
      <c r="F43" s="353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50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46204631.830000132</v>
      </c>
      <c r="E45" s="162">
        <v>41914971.290000133</v>
      </c>
      <c r="F45" s="162">
        <v>11871877.580000009</v>
      </c>
      <c r="G45" s="91">
        <v>0.25091851173219326</v>
      </c>
      <c r="H45" s="91">
        <v>0.35414547741729141</v>
      </c>
      <c r="I45" s="116">
        <v>0.38760828270288616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11505505.76</v>
      </c>
      <c r="E46" s="163">
        <v>2788370.76</v>
      </c>
      <c r="F46" s="163">
        <v>762705.02</v>
      </c>
      <c r="G46" s="92">
        <v>-7.3204325539766413E-2</v>
      </c>
      <c r="H46" s="92">
        <v>0.83643859845572366</v>
      </c>
      <c r="I46" s="117">
        <v>5.1860696176844341</v>
      </c>
    </row>
    <row r="47" spans="2:9" ht="20.100000000000001" customHeight="1">
      <c r="C47" s="146" t="s">
        <v>27</v>
      </c>
      <c r="D47" s="164">
        <v>57710137.59000013</v>
      </c>
      <c r="E47" s="164">
        <v>44703342.050000131</v>
      </c>
      <c r="F47" s="164">
        <v>12634582.600000009</v>
      </c>
      <c r="G47" s="147">
        <v>0.16938489317499328</v>
      </c>
      <c r="H47" s="147">
        <v>0.3766974054383978</v>
      </c>
      <c r="I47" s="148">
        <v>0.4557757869821828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87" zoomScale="85" zoomScaleNormal="85" workbookViewId="0">
      <selection activeCell="G107" sqref="G107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102</v>
      </c>
      <c r="D2" s="174"/>
      <c r="E2" s="178" t="str">
        <f>+IF(Índice!$D$2=1,"índice","Index")</f>
        <v>Index</v>
      </c>
    </row>
    <row r="3" spans="2:5">
      <c r="C3" s="321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109</v>
      </c>
      <c r="D11" s="170"/>
      <c r="E11" s="169"/>
    </row>
    <row r="12" spans="2:5">
      <c r="B12" s="29"/>
      <c r="C12" s="170" t="s">
        <v>34</v>
      </c>
      <c r="D12" s="170"/>
      <c r="E12" s="169"/>
    </row>
    <row r="13" spans="2:5">
      <c r="B13" s="29"/>
      <c r="C13" s="170" t="s">
        <v>57</v>
      </c>
      <c r="D13" s="170"/>
      <c r="E13" s="169"/>
    </row>
    <row r="14" spans="2:5">
      <c r="B14" s="29"/>
      <c r="C14" s="170" t="s">
        <v>50</v>
      </c>
      <c r="D14" s="170"/>
      <c r="E14" s="169"/>
    </row>
    <row r="15" spans="2:5">
      <c r="B15" s="29"/>
      <c r="C15" s="170" t="s">
        <v>78</v>
      </c>
      <c r="D15" s="170"/>
      <c r="E15" s="169"/>
    </row>
    <row r="16" spans="2:5">
      <c r="B16" s="29"/>
      <c r="C16" s="170" t="s">
        <v>11</v>
      </c>
      <c r="D16" s="170"/>
      <c r="E16" s="169"/>
    </row>
    <row r="17" spans="2:5">
      <c r="B17" s="29"/>
      <c r="C17" s="170" t="s">
        <v>51</v>
      </c>
      <c r="D17" s="171"/>
      <c r="E17" s="169"/>
    </row>
    <row r="18" spans="2:5">
      <c r="B18" s="29"/>
      <c r="C18" s="170" t="s">
        <v>44</v>
      </c>
      <c r="D18" s="170"/>
      <c r="E18" s="169"/>
    </row>
    <row r="19" spans="2:5">
      <c r="B19" s="29"/>
      <c r="C19" s="170" t="s">
        <v>68</v>
      </c>
      <c r="D19" s="170"/>
      <c r="E19" s="169"/>
    </row>
    <row r="20" spans="2:5">
      <c r="B20" s="29"/>
      <c r="C20" s="170" t="s">
        <v>60</v>
      </c>
      <c r="D20" s="170"/>
      <c r="E20" s="169"/>
    </row>
    <row r="21" spans="2:5">
      <c r="B21" s="29"/>
      <c r="C21" s="170" t="s">
        <v>8</v>
      </c>
      <c r="D21" s="170"/>
      <c r="E21" s="169"/>
    </row>
    <row r="22" spans="2:5">
      <c r="B22" s="29"/>
      <c r="C22" s="170" t="s">
        <v>58</v>
      </c>
      <c r="D22" s="170"/>
      <c r="E22" s="169"/>
    </row>
    <row r="23" spans="2:5">
      <c r="B23" s="29"/>
      <c r="C23" s="170" t="s">
        <v>59</v>
      </c>
      <c r="D23" s="170"/>
      <c r="E23" s="169"/>
    </row>
    <row r="24" spans="2:5">
      <c r="B24" s="29"/>
      <c r="C24" s="170" t="s">
        <v>35</v>
      </c>
      <c r="D24" s="170"/>
      <c r="E24" s="169"/>
    </row>
    <row r="25" spans="2:5">
      <c r="B25" s="29"/>
      <c r="C25" s="170" t="s">
        <v>52</v>
      </c>
      <c r="D25" s="170"/>
      <c r="E25" s="169"/>
    </row>
    <row r="26" spans="2:5">
      <c r="B26" s="29"/>
      <c r="C26" s="170" t="s">
        <v>53</v>
      </c>
      <c r="D26" s="170"/>
      <c r="E26" s="169"/>
    </row>
    <row r="27" spans="2:5">
      <c r="B27" s="29"/>
      <c r="C27" s="170" t="s">
        <v>36</v>
      </c>
      <c r="D27" s="170"/>
      <c r="E27" s="169"/>
    </row>
    <row r="28" spans="2:5">
      <c r="B28" s="29"/>
      <c r="C28" s="170" t="s">
        <v>54</v>
      </c>
      <c r="D28" s="170"/>
      <c r="E28" s="169"/>
    </row>
    <row r="29" spans="2:5">
      <c r="C29" s="170" t="s">
        <v>66</v>
      </c>
      <c r="D29" s="170"/>
      <c r="E29" s="169"/>
    </row>
    <row r="30" spans="2:5">
      <c r="C30" s="170" t="s">
        <v>64</v>
      </c>
      <c r="D30" s="170"/>
      <c r="E30" s="169"/>
    </row>
    <row r="31" spans="2:5">
      <c r="C31" s="170" t="s">
        <v>45</v>
      </c>
      <c r="D31" s="170"/>
      <c r="E31" s="169"/>
    </row>
    <row r="32" spans="2:5">
      <c r="C32" s="170" t="s">
        <v>46</v>
      </c>
      <c r="D32" s="170"/>
      <c r="E32" s="169"/>
    </row>
    <row r="33" spans="3:5">
      <c r="C33" s="170" t="s">
        <v>37</v>
      </c>
      <c r="D33" s="170"/>
      <c r="E33" s="169"/>
    </row>
    <row r="34" spans="3:5">
      <c r="C34" s="170" t="s">
        <v>47</v>
      </c>
      <c r="D34" s="170"/>
      <c r="E34" s="169"/>
    </row>
    <row r="35" spans="3:5">
      <c r="C35" s="170" t="s">
        <v>61</v>
      </c>
      <c r="D35" s="170"/>
      <c r="E35" s="169"/>
    </row>
    <row r="36" spans="3:5">
      <c r="C36" s="170" t="s">
        <v>65</v>
      </c>
      <c r="D36" s="170"/>
      <c r="E36" s="169"/>
    </row>
    <row r="37" spans="3:5">
      <c r="C37" s="170" t="s">
        <v>80</v>
      </c>
      <c r="D37" s="170"/>
      <c r="E37" s="169"/>
    </row>
    <row r="38" spans="3:5">
      <c r="C38" s="170" t="s">
        <v>67</v>
      </c>
      <c r="D38" s="170"/>
      <c r="E38" s="169"/>
    </row>
    <row r="39" spans="3:5">
      <c r="C39" s="170" t="s">
        <v>97</v>
      </c>
      <c r="D39" s="170"/>
      <c r="E39" s="169"/>
    </row>
    <row r="40" spans="3:5">
      <c r="C40" s="171" t="s">
        <v>33</v>
      </c>
      <c r="D40" s="170"/>
      <c r="E40" s="169"/>
    </row>
    <row r="41" spans="3:5">
      <c r="C41" s="170" t="s">
        <v>56</v>
      </c>
      <c r="D41" s="170"/>
      <c r="E41" s="169"/>
    </row>
    <row r="42" spans="3:5">
      <c r="C42" s="170" t="s">
        <v>9</v>
      </c>
      <c r="D42" s="170"/>
      <c r="E42" s="169"/>
    </row>
    <row r="43" spans="3:5">
      <c r="C43" s="170" t="s">
        <v>62</v>
      </c>
      <c r="D43" s="171"/>
      <c r="E43" s="169"/>
    </row>
    <row r="44" spans="3:5">
      <c r="C44" s="171" t="s">
        <v>91</v>
      </c>
      <c r="D44" s="170"/>
      <c r="E44" s="169"/>
    </row>
    <row r="45" spans="3:5">
      <c r="C45" s="170" t="s">
        <v>32</v>
      </c>
      <c r="D45" s="171"/>
      <c r="E45" s="169"/>
    </row>
    <row r="46" spans="3:5">
      <c r="C46" s="170" t="s">
        <v>40</v>
      </c>
      <c r="D46" s="170"/>
      <c r="E46" s="169"/>
    </row>
    <row r="47" spans="3:5">
      <c r="C47" s="170" t="s">
        <v>5</v>
      </c>
      <c r="D47" s="170"/>
      <c r="E47" s="169"/>
    </row>
    <row r="48" spans="3:5">
      <c r="C48" s="170" t="s">
        <v>86</v>
      </c>
      <c r="D48" s="170"/>
      <c r="E48" s="169"/>
    </row>
    <row r="49" spans="3:5">
      <c r="C49" s="170" t="s">
        <v>41</v>
      </c>
      <c r="D49" s="170"/>
      <c r="E49" s="169"/>
    </row>
    <row r="50" spans="3:5">
      <c r="C50" s="170" t="s">
        <v>42</v>
      </c>
      <c r="D50" s="171"/>
      <c r="E50" s="169"/>
    </row>
    <row r="51" spans="3:5">
      <c r="C51" s="170" t="s">
        <v>87</v>
      </c>
      <c r="D51" s="170"/>
      <c r="E51" s="169"/>
    </row>
    <row r="52" spans="3:5">
      <c r="C52" s="171" t="s">
        <v>20</v>
      </c>
      <c r="D52" s="170"/>
      <c r="E52" s="169"/>
    </row>
    <row r="53" spans="3:5">
      <c r="C53" s="170" t="s">
        <v>106</v>
      </c>
      <c r="D53" s="170"/>
      <c r="E53" s="169"/>
    </row>
    <row r="54" spans="3:5">
      <c r="C54" s="170" t="s">
        <v>110</v>
      </c>
      <c r="D54" s="171"/>
      <c r="E54" s="169"/>
    </row>
    <row r="55" spans="3:5">
      <c r="C55" s="171" t="s">
        <v>19</v>
      </c>
    </row>
    <row r="56" spans="3:5">
      <c r="C56" s="170" t="s">
        <v>104</v>
      </c>
    </row>
    <row r="57" spans="3:5">
      <c r="C57" s="170" t="s">
        <v>108</v>
      </c>
    </row>
    <row r="58" spans="3:5">
      <c r="C58" s="170" t="s">
        <v>100</v>
      </c>
    </row>
    <row r="59" spans="3:5">
      <c r="C59" s="170" t="s">
        <v>88</v>
      </c>
    </row>
    <row r="60" spans="3:5">
      <c r="C60" s="171" t="s">
        <v>17</v>
      </c>
    </row>
    <row r="61" spans="3:5">
      <c r="C61" s="170" t="s">
        <v>111</v>
      </c>
    </row>
    <row r="62" spans="3:5">
      <c r="C62" s="170" t="s">
        <v>105</v>
      </c>
    </row>
    <row r="63" spans="3:5">
      <c r="C63" s="170" t="s">
        <v>103</v>
      </c>
    </row>
    <row r="64" spans="3:5">
      <c r="C64" s="170" t="s">
        <v>92</v>
      </c>
    </row>
    <row r="65" spans="3:3">
      <c r="C65" s="171" t="s">
        <v>16</v>
      </c>
    </row>
    <row r="66" spans="3:3">
      <c r="C66" s="170" t="s">
        <v>69</v>
      </c>
    </row>
    <row r="67" spans="3:3">
      <c r="C67" s="171" t="s">
        <v>38</v>
      </c>
    </row>
    <row r="68" spans="3:3">
      <c r="C68" s="170" t="s">
        <v>89</v>
      </c>
    </row>
    <row r="69" spans="3:3">
      <c r="C69" s="170" t="s">
        <v>107</v>
      </c>
    </row>
    <row r="70" spans="3:3">
      <c r="C70" s="170" t="s">
        <v>98</v>
      </c>
    </row>
    <row r="71" spans="3:3">
      <c r="C71" s="171" t="s">
        <v>15</v>
      </c>
    </row>
    <row r="72" spans="3:3">
      <c r="C72" s="170" t="s">
        <v>63</v>
      </c>
    </row>
    <row r="73" spans="3:3">
      <c r="C73" s="170" t="s">
        <v>101</v>
      </c>
    </row>
    <row r="74" spans="3:3">
      <c r="C74" s="171" t="s">
        <v>18</v>
      </c>
    </row>
    <row r="75" spans="3:3">
      <c r="C75" s="170" t="s">
        <v>48</v>
      </c>
    </row>
    <row r="76" spans="3:3">
      <c r="C76" s="170" t="s">
        <v>12</v>
      </c>
    </row>
    <row r="77" spans="3:3">
      <c r="C77" s="170" t="s">
        <v>3</v>
      </c>
    </row>
    <row r="78" spans="3:3">
      <c r="C78" s="170" t="s">
        <v>79</v>
      </c>
    </row>
    <row r="79" spans="3:3">
      <c r="C79" s="170" t="s">
        <v>39</v>
      </c>
    </row>
    <row r="80" spans="3:3">
      <c r="C80" s="275"/>
    </row>
    <row r="81" spans="2:3" ht="36.75" customHeight="1">
      <c r="B81" s="16"/>
      <c r="C81" s="322" t="s">
        <v>55</v>
      </c>
    </row>
    <row r="82" spans="2:3">
      <c r="C82" s="171" t="s">
        <v>1</v>
      </c>
    </row>
    <row r="83" spans="2:3">
      <c r="C83" s="170" t="s">
        <v>1</v>
      </c>
    </row>
    <row r="84" spans="2:3">
      <c r="C84" s="171" t="s">
        <v>14</v>
      </c>
    </row>
    <row r="85" spans="2:3">
      <c r="C85" s="170" t="s">
        <v>71</v>
      </c>
    </row>
    <row r="86" spans="2:3">
      <c r="C86" s="170" t="s">
        <v>93</v>
      </c>
    </row>
    <row r="87" spans="2:3">
      <c r="C87" s="170" t="s">
        <v>72</v>
      </c>
    </row>
    <row r="88" spans="2:3">
      <c r="C88" s="170" t="s">
        <v>82</v>
      </c>
    </row>
    <row r="89" spans="2:3">
      <c r="C89" s="171" t="s">
        <v>33</v>
      </c>
    </row>
    <row r="90" spans="2:3">
      <c r="C90" s="170" t="s">
        <v>81</v>
      </c>
    </row>
    <row r="91" spans="2:3">
      <c r="C91" s="170" t="s">
        <v>70</v>
      </c>
    </row>
    <row r="92" spans="2:3">
      <c r="C92" s="171" t="s">
        <v>91</v>
      </c>
    </row>
    <row r="93" spans="2:3">
      <c r="C93" s="170" t="s">
        <v>7</v>
      </c>
    </row>
    <row r="94" spans="2:3">
      <c r="C94" s="170" t="s">
        <v>6</v>
      </c>
    </row>
    <row r="95" spans="2:3">
      <c r="C95" s="170" t="s">
        <v>94</v>
      </c>
    </row>
    <row r="96" spans="2:3">
      <c r="C96" s="170" t="s">
        <v>77</v>
      </c>
    </row>
    <row r="97" spans="3:3">
      <c r="C97" s="171" t="s">
        <v>20</v>
      </c>
    </row>
    <row r="98" spans="3:3">
      <c r="C98" s="170" t="s">
        <v>73</v>
      </c>
    </row>
    <row r="99" spans="3:3">
      <c r="C99" s="171" t="s">
        <v>17</v>
      </c>
    </row>
    <row r="100" spans="3:3">
      <c r="C100" s="170" t="s">
        <v>76</v>
      </c>
    </row>
    <row r="101" spans="3:3">
      <c r="C101" s="170" t="s">
        <v>49</v>
      </c>
    </row>
    <row r="102" spans="3:3">
      <c r="C102" s="170" t="s">
        <v>13</v>
      </c>
    </row>
    <row r="103" spans="3:3">
      <c r="C103" s="171" t="s">
        <v>16</v>
      </c>
    </row>
    <row r="104" spans="3:3">
      <c r="C104" s="170" t="s">
        <v>75</v>
      </c>
    </row>
    <row r="105" spans="3:3">
      <c r="C105" s="171" t="s">
        <v>15</v>
      </c>
    </row>
    <row r="106" spans="3:3">
      <c r="C106" s="170" t="s">
        <v>99</v>
      </c>
    </row>
    <row r="107" spans="3:3">
      <c r="C107" s="170" t="s">
        <v>74</v>
      </c>
    </row>
    <row r="108" spans="3:3">
      <c r="C108" s="171" t="s">
        <v>18</v>
      </c>
    </row>
    <row r="109" spans="3:3">
      <c r="C109" s="170" t="s">
        <v>49</v>
      </c>
    </row>
    <row r="110" spans="3:3">
      <c r="C110" s="170" t="s">
        <v>85</v>
      </c>
    </row>
    <row r="111" spans="3:3">
      <c r="C111" s="170" t="s">
        <v>84</v>
      </c>
    </row>
    <row r="112" spans="3:3">
      <c r="C112" s="170" t="s">
        <v>90</v>
      </c>
    </row>
    <row r="113" spans="3:3">
      <c r="C113" s="170" t="s">
        <v>83</v>
      </c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23" sqref="S2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(january-october)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(january-october)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19" t="str">
        <f>+Q3_Global_M!C2</f>
        <v>TABLE III - Regional Gov. budget execution (october)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(january-october)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(january-october)</v>
      </c>
      <c r="B7" s="217"/>
      <c r="C7" s="217"/>
      <c r="D7" s="217"/>
    </row>
    <row r="8" spans="1:25" s="179" customFormat="1" ht="20.100000000000001" customHeight="1">
      <c r="A8" s="284" t="str">
        <f>+'Q6_D_Est ECO'!C2</f>
        <v>TABLE VI - Regional Gov. expenditure budget execution (january-october)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(january-october)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(january-october)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(january-october)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(january-october)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(january-october)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(october)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october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october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august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285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1" display="'Pagamentos_Atraso '!B81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9" sqref="J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TABLE I - Consolidated budget execution (january-october)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2022","Consolidated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982266.43800999993</v>
      </c>
      <c r="E5" s="57">
        <v>357933.19004999992</v>
      </c>
      <c r="F5" s="57">
        <v>242622.94237000006</v>
      </c>
      <c r="G5" s="57">
        <v>1053454.7732599997</v>
      </c>
      <c r="H5" s="57">
        <v>14.390992332809205</v>
      </c>
    </row>
    <row r="6" spans="1:10" ht="11.25" customHeight="1">
      <c r="C6" s="68" t="str">
        <f>+IF(Índice!$D$2=1,"Impostos diretos","Direct taxes")</f>
        <v>Direct taxes</v>
      </c>
      <c r="D6" s="56">
        <v>251014.46987999996</v>
      </c>
      <c r="E6" s="56">
        <v>0</v>
      </c>
      <c r="F6" s="56">
        <v>0</v>
      </c>
      <c r="G6" s="56">
        <v>251014.46987999996</v>
      </c>
      <c r="H6" s="56">
        <v>33.700691178963417</v>
      </c>
    </row>
    <row r="7" spans="1:10">
      <c r="C7" s="68" t="str">
        <f>+IF(Índice!$D$2=1,"Impostos indiretos","Indirect taxes")</f>
        <v>Indirect taxes</v>
      </c>
      <c r="D7" s="56">
        <v>520308.50204999995</v>
      </c>
      <c r="E7" s="56">
        <v>0</v>
      </c>
      <c r="F7" s="56">
        <v>0</v>
      </c>
      <c r="G7" s="56">
        <v>520308.50204999995</v>
      </c>
      <c r="H7" s="56">
        <v>10.244044508900663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210943.46608000001</v>
      </c>
      <c r="E9" s="56">
        <v>357933.19004999992</v>
      </c>
      <c r="F9" s="56">
        <v>242622.94237000006</v>
      </c>
      <c r="G9" s="56">
        <v>278629.51270000008</v>
      </c>
      <c r="H9" s="56">
        <v>6.6645471856167982</v>
      </c>
    </row>
    <row r="10" spans="1:10">
      <c r="C10" s="69" t="str">
        <f>+IF(Índice!$D$2=1,"Transferências correntes","Current transfers")</f>
        <v>Current transfers</v>
      </c>
      <c r="D10" s="56">
        <v>180366.72396999999</v>
      </c>
      <c r="E10" s="56">
        <v>351047.78087999992</v>
      </c>
      <c r="F10" s="56">
        <v>208783.34789000003</v>
      </c>
      <c r="G10" s="56">
        <v>207327.76694000012</v>
      </c>
      <c r="H10" s="56">
        <v>-0.65412932418980052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179869.25898999997</v>
      </c>
      <c r="E11" s="56">
        <v>629.11996999999997</v>
      </c>
      <c r="F11" s="56">
        <v>1026.96621</v>
      </c>
      <c r="G11" s="56">
        <v>181525.34516999999</v>
      </c>
      <c r="H11" s="56">
        <v>-6.3308749626967415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327587.6226399999</v>
      </c>
      <c r="F12" s="56">
        <v>205282.46315999998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3502.288629999879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91829.850819999978</v>
      </c>
      <c r="E14" s="57">
        <v>79378.73993000004</v>
      </c>
      <c r="F14" s="57">
        <v>31449.92136</v>
      </c>
      <c r="G14" s="57">
        <v>136203.73641000001</v>
      </c>
      <c r="H14" s="57">
        <v>44.289866095914519</v>
      </c>
    </row>
    <row r="15" spans="1:10">
      <c r="C15" s="68" t="str">
        <f>+IF(Índice!$D$2=1,"Venda de bens de investimento","Sale of investment goods")</f>
        <v>Sale of investment goods</v>
      </c>
      <c r="D15" s="56">
        <v>4347.4447499999987</v>
      </c>
      <c r="E15" s="56">
        <v>0</v>
      </c>
      <c r="F15" s="56">
        <v>320.62190000000004</v>
      </c>
      <c r="G15" s="56">
        <v>4668.0666499999988</v>
      </c>
      <c r="H15" s="56">
        <v>114.01586827065753</v>
      </c>
    </row>
    <row r="16" spans="1:10" ht="11.25" customHeight="1">
      <c r="C16" s="68" t="str">
        <f>+IF(Índice!$D$2=1,"Transferências capital","Capital transfers")</f>
        <v>Capital transfers</v>
      </c>
      <c r="D16" s="56">
        <v>79210.580729999987</v>
      </c>
      <c r="E16" s="56">
        <v>79224.589720000033</v>
      </c>
      <c r="F16" s="56">
        <v>30984.17137</v>
      </c>
      <c r="G16" s="56">
        <v>122964.56612000005</v>
      </c>
      <c r="H16" s="56">
        <v>35.535051104911688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45398.219960000002</v>
      </c>
      <c r="E17" s="56">
        <v>0</v>
      </c>
      <c r="F17" s="56">
        <v>0</v>
      </c>
      <c r="G17" s="56">
        <v>45398.219960000002</v>
      </c>
      <c r="H17" s="56">
        <v>-5.6752187314602853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58884.021129999979</v>
      </c>
      <c r="F18" s="56">
        <v>7570.7545700000001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1074096.28883</v>
      </c>
      <c r="E20" s="57">
        <v>437311.92997999996</v>
      </c>
      <c r="F20" s="57">
        <v>274072.86373000004</v>
      </c>
      <c r="G20" s="57">
        <v>1189658.5096699996</v>
      </c>
      <c r="H20" s="57">
        <v>17.170736745080404</v>
      </c>
    </row>
    <row r="21" spans="3:8" ht="20.25" customHeight="1">
      <c r="C21" s="220" t="str">
        <f>+IF(Índice!$D$2=1,"Despesa corrente","Current expenditure")</f>
        <v>Current expenditure</v>
      </c>
      <c r="D21" s="220">
        <v>956971.87719000061</v>
      </c>
      <c r="E21" s="220">
        <v>346231.51464000001</v>
      </c>
      <c r="F21" s="220">
        <v>257231.74662999998</v>
      </c>
      <c r="G21" s="220">
        <v>1031058.2261700004</v>
      </c>
      <c r="H21" s="220">
        <v>0.84264671835643234</v>
      </c>
    </row>
    <row r="22" spans="3:8" ht="10.5" customHeight="1">
      <c r="C22" s="68" t="str">
        <f>+IF(Índice!$D$2=1,"Consumo público","Public consumption")</f>
        <v>Public consumption</v>
      </c>
      <c r="D22" s="56">
        <v>455815.59428000054</v>
      </c>
      <c r="E22" s="56">
        <v>113264.58665000007</v>
      </c>
      <c r="F22" s="56">
        <v>243735.94792999997</v>
      </c>
      <c r="G22" s="56">
        <v>812816.12886000052</v>
      </c>
      <c r="H22" s="56">
        <v>-2.3050304536193389</v>
      </c>
    </row>
    <row r="23" spans="3:8">
      <c r="C23" s="69" t="str">
        <f>+IF(Índice!$D$2=1,"Despesas com o pessoal","Compensation of employees")</f>
        <v>Compensation of employees</v>
      </c>
      <c r="D23" s="56">
        <v>323760.29098000057</v>
      </c>
      <c r="E23" s="56">
        <v>38513.118539999996</v>
      </c>
      <c r="F23" s="56">
        <v>180825.80337000001</v>
      </c>
      <c r="G23" s="56">
        <v>543099.21289000055</v>
      </c>
      <c r="H23" s="56">
        <v>3.1138855009090083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132055.3033</v>
      </c>
      <c r="E24" s="56">
        <v>74751.468110000074</v>
      </c>
      <c r="F24" s="56">
        <v>62910.144559999957</v>
      </c>
      <c r="G24" s="56">
        <v>269716.91597000003</v>
      </c>
      <c r="H24" s="56">
        <v>-11.653793600846928</v>
      </c>
    </row>
    <row r="25" spans="3:8">
      <c r="C25" s="68" t="str">
        <f>+IF(Índice!$D$2=1,"Subsídios","Subsidies")</f>
        <v>Subsidies</v>
      </c>
      <c r="D25" s="56">
        <v>20862.276790000004</v>
      </c>
      <c r="E25" s="56">
        <v>6400.6497700000027</v>
      </c>
      <c r="F25" s="56">
        <v>7.8057799999999995</v>
      </c>
      <c r="G25" s="56">
        <v>27261.617220000007</v>
      </c>
      <c r="H25" s="56">
        <v>3.2070045102329026</v>
      </c>
    </row>
    <row r="26" spans="3:8">
      <c r="C26" s="68" t="str">
        <f>+IF(Índice!$D$2=1,"Juros e outros encargos","Interests and other charges")</f>
        <v>Interests and other charges</v>
      </c>
      <c r="D26" s="56">
        <v>74701.898349999989</v>
      </c>
      <c r="E26" s="56">
        <v>210.46617000000003</v>
      </c>
      <c r="F26" s="56">
        <v>3080.1754999999998</v>
      </c>
      <c r="G26" s="56">
        <v>77992.540019999986</v>
      </c>
      <c r="H26" s="56">
        <v>43.913246647283529</v>
      </c>
    </row>
    <row r="27" spans="3:8">
      <c r="C27" s="68" t="str">
        <f>+IF(Índice!$D$2=1,"Transferências correntes","Current transfers")</f>
        <v>Current transfers</v>
      </c>
      <c r="D27" s="56">
        <v>405592.10777</v>
      </c>
      <c r="E27" s="56">
        <v>226355.81204999992</v>
      </c>
      <c r="F27" s="56">
        <v>10407.817419999996</v>
      </c>
      <c r="G27" s="56">
        <v>112987.9400699999</v>
      </c>
      <c r="H27" s="56">
        <v>3.1762975845945229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274.87770999999998</v>
      </c>
      <c r="E28" s="56">
        <v>1574.1102300000002</v>
      </c>
      <c r="F28" s="56">
        <v>0</v>
      </c>
      <c r="G28" s="56">
        <v>1848.9879400000002</v>
      </c>
      <c r="H28" s="56">
        <v>4.7397237708268758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333707.44225000002</v>
      </c>
      <c r="E29" s="56">
        <v>195660.35491999998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153528.49041000009</v>
      </c>
      <c r="E31" s="57">
        <v>68145.172290000002</v>
      </c>
      <c r="F31" s="57">
        <v>11341.969410000003</v>
      </c>
      <c r="G31" s="57">
        <v>166560.85641000009</v>
      </c>
      <c r="H31" s="57">
        <v>26.848547325084262</v>
      </c>
    </row>
    <row r="32" spans="3:8">
      <c r="C32" s="68" t="str">
        <f>+IF(Índice!$D$2=1,"Investimento","Investment")</f>
        <v>Investment</v>
      </c>
      <c r="D32" s="56">
        <v>72961.266870000065</v>
      </c>
      <c r="E32" s="56">
        <v>2262.1995300000003</v>
      </c>
      <c r="F32" s="56">
        <v>11067.910800000003</v>
      </c>
      <c r="G32" s="56">
        <v>86291.377200000075</v>
      </c>
      <c r="H32" s="56">
        <v>3.8549685673182177</v>
      </c>
    </row>
    <row r="33" spans="3:8">
      <c r="C33" s="68" t="str">
        <f>+IF(Índice!$D$2=1,"Transferências capital","Capital transfers")</f>
        <v>Capital transfers</v>
      </c>
      <c r="D33" s="56">
        <v>80567.223540000021</v>
      </c>
      <c r="E33" s="56">
        <v>65882.972760000004</v>
      </c>
      <c r="F33" s="56">
        <v>274.05860999999999</v>
      </c>
      <c r="G33" s="56">
        <v>80070.842810000031</v>
      </c>
      <c r="H33" s="56">
        <v>66.058268976914093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5704.4000500000002</v>
      </c>
      <c r="E34" s="56">
        <v>0</v>
      </c>
      <c r="F34" s="56">
        <v>0</v>
      </c>
      <c r="G34" s="56">
        <v>5704.4000500000002</v>
      </c>
      <c r="H34" s="56">
        <v>-0.50164341565296366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66374.128439999986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1110500.3676000007</v>
      </c>
      <c r="E38" s="86">
        <v>414376.68693000003</v>
      </c>
      <c r="F38" s="86">
        <v>268573.71603999997</v>
      </c>
      <c r="G38" s="86">
        <v>1197619.0825800004</v>
      </c>
      <c r="H38" s="86">
        <v>3.8023475437605869</v>
      </c>
    </row>
    <row r="39" spans="3:8" ht="17.25" customHeight="1">
      <c r="C39" s="138" t="str">
        <f>+IF(Índice!$D$2=1,"Saldo global","Overall balance")</f>
        <v>Overall balance</v>
      </c>
      <c r="D39" s="139">
        <v>-36404.07877000072</v>
      </c>
      <c r="E39" s="139">
        <v>22935.243049999932</v>
      </c>
      <c r="F39" s="139">
        <v>5499.1476900000707</v>
      </c>
      <c r="G39" s="139">
        <v>-7960.5729100008029</v>
      </c>
      <c r="H39" s="139">
        <v>94.249346629505254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25294.560819999315</v>
      </c>
      <c r="E41" s="19">
        <v>11701.675409999909</v>
      </c>
      <c r="F41" s="19">
        <v>-14608.804259999917</v>
      </c>
      <c r="G41" s="19">
        <v>22396.547089999309</v>
      </c>
      <c r="H41" s="19">
        <v>122.06163815276483</v>
      </c>
    </row>
    <row r="42" spans="3:8">
      <c r="C42" s="68" t="str">
        <f>+IF(Índice!$D$2=1,"Despesa corrente primária","Primary current expenditure")</f>
        <v>Primary current expenditure</v>
      </c>
      <c r="D42" s="19">
        <v>882269.97884000058</v>
      </c>
      <c r="E42" s="19">
        <v>346021.04846999998</v>
      </c>
      <c r="F42" s="19">
        <v>254151.57112999997</v>
      </c>
      <c r="G42" s="19">
        <v>953065.68615000043</v>
      </c>
      <c r="H42" s="19">
        <v>-1.5680710938200892</v>
      </c>
    </row>
    <row r="43" spans="3:8">
      <c r="C43" s="68" t="str">
        <f>+IF(Índice!$D$2=1,"Saldo corrente primário","Primary current balance")</f>
        <v>Primary current balance</v>
      </c>
      <c r="D43" s="19">
        <v>99996.459169999347</v>
      </c>
      <c r="E43" s="19">
        <v>11912.141579999938</v>
      </c>
      <c r="F43" s="19">
        <v>-11528.628759999905</v>
      </c>
      <c r="G43" s="19">
        <v>100389.08710999927</v>
      </c>
      <c r="H43" s="19">
        <v>312.1317875543449</v>
      </c>
    </row>
    <row r="44" spans="3:8">
      <c r="C44" s="68" t="str">
        <f>+IF(Índice!$D$2=1,"Saldo de capital","Capital balance")</f>
        <v>Capital balance</v>
      </c>
      <c r="D44" s="19">
        <v>-61698.639590000108</v>
      </c>
      <c r="E44" s="19">
        <v>11233.567640000037</v>
      </c>
      <c r="F44" s="19">
        <v>20107.951949999995</v>
      </c>
      <c r="G44" s="19">
        <v>-30357.120000000083</v>
      </c>
      <c r="H44" s="19">
        <v>17.755802332910655</v>
      </c>
    </row>
    <row r="45" spans="3:8">
      <c r="C45" s="68" t="str">
        <f t="array" ref="C45">+IF(Índice!$D$2=1,"Despesa primária","Primary expenditure")</f>
        <v>Primary expenditure</v>
      </c>
      <c r="D45" s="19">
        <v>1035798.4692500007</v>
      </c>
      <c r="E45" s="19">
        <v>414166.22076</v>
      </c>
      <c r="F45" s="19">
        <v>265493.54053999996</v>
      </c>
      <c r="G45" s="19">
        <v>1119626.5425600004</v>
      </c>
      <c r="H45" s="19">
        <v>1.8253889084738795</v>
      </c>
    </row>
    <row r="46" spans="3:8">
      <c r="C46" s="221" t="str">
        <f>+IF(Índice!$D$2=1,"Saldo primário","Primary balance")</f>
        <v>Primary balance</v>
      </c>
      <c r="D46" s="132">
        <v>38297.819579999312</v>
      </c>
      <c r="E46" s="132">
        <v>23145.709219999961</v>
      </c>
      <c r="F46" s="132">
        <v>8579.3231900000828</v>
      </c>
      <c r="G46" s="132">
        <v>70031.967109999154</v>
      </c>
      <c r="H46" s="132">
        <v>183.13891615167955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TABLE II - Regional Gov. budget execution (january-october)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878299.14993999992</v>
      </c>
      <c r="E5" s="225">
        <v>982266.43800999993</v>
      </c>
      <c r="F5" s="225">
        <v>11.837343583573134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659440.22031999996</v>
      </c>
      <c r="E6" s="231">
        <v>771322.97192999988</v>
      </c>
      <c r="F6" s="231">
        <v>16.966322065661643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187492.46369999999</v>
      </c>
      <c r="E7" s="231">
        <v>251014.46987999996</v>
      </c>
      <c r="F7" s="231">
        <v>33.879765045724319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471947.75662</v>
      </c>
      <c r="E8" s="231">
        <v>520308.50204999995</v>
      </c>
      <c r="F8" s="231">
        <v>10.247054838516533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218858.92962000001</v>
      </c>
      <c r="E9" s="231">
        <v>210943.46608000001</v>
      </c>
      <c r="F9" s="231">
        <v>-3.6166966336458994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76529.531059999979</v>
      </c>
      <c r="E10" s="232">
        <v>91829.850819999992</v>
      </c>
      <c r="F10" s="232">
        <v>19.992700266259831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954828.68099999987</v>
      </c>
      <c r="E12" s="232">
        <v>1074096.28883</v>
      </c>
      <c r="F12" s="232">
        <v>12.490995526557725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987120.72671000031</v>
      </c>
      <c r="E14" s="232">
        <v>956971.87719000003</v>
      </c>
      <c r="F14" s="232">
        <v>-3.0542211002380748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306602.18345000001</v>
      </c>
      <c r="E15" s="231">
        <v>323760.29097999993</v>
      </c>
      <c r="F15" s="231">
        <v>5.5962117871864558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121464.51817</v>
      </c>
      <c r="E16" s="231">
        <v>131338.52890999999</v>
      </c>
      <c r="F16" s="231">
        <v>8.1291317734290658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50399.610590000011</v>
      </c>
      <c r="E17" s="231">
        <v>74701.898349999989</v>
      </c>
      <c r="F17" s="231">
        <v>48.219197480906509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490445.34761000017</v>
      </c>
      <c r="E18" s="231">
        <v>405592.10777</v>
      </c>
      <c r="F18" s="231">
        <v>-17.30126307722162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413882.32100000011</v>
      </c>
      <c r="E19" s="231">
        <v>333982.31995999999</v>
      </c>
      <c r="F19" s="231">
        <v>-19.305004583657993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76563.026610000044</v>
      </c>
      <c r="E20" s="231">
        <v>71609.787810000009</v>
      </c>
      <c r="F20" s="231">
        <v>-6.4694918935624735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17826.601270000003</v>
      </c>
      <c r="E21" s="231">
        <v>20862.276790000004</v>
      </c>
      <c r="F21" s="231">
        <v>17.028907945053295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382.46562</v>
      </c>
      <c r="E22" s="231">
        <v>716.77439000000004</v>
      </c>
      <c r="F22" s="231">
        <v>87.408842133313854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112251.17263999998</v>
      </c>
      <c r="E23" s="232">
        <v>153528.49041000006</v>
      </c>
      <c r="F23" s="232">
        <v>36.772282016491985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65984.209889999955</v>
      </c>
      <c r="E24" s="231">
        <v>72961.266870000065</v>
      </c>
      <c r="F24" s="231">
        <v>10.57382818045609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46266.962750000013</v>
      </c>
      <c r="E25" s="231">
        <v>80567.223539999992</v>
      </c>
      <c r="F25" s="231">
        <v>74.135535922984204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35981.270500000013</v>
      </c>
      <c r="E26" s="231">
        <v>72078.528489999997</v>
      </c>
      <c r="F26" s="231">
        <v>100.32235518198274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10285.69225</v>
      </c>
      <c r="E27" s="231">
        <v>8488.6950499999984</v>
      </c>
      <c r="F27" s="231">
        <v>-17.470843539966907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1099371.8993500003</v>
      </c>
      <c r="E29" s="235">
        <v>1110500.3676</v>
      </c>
      <c r="F29" s="235">
        <v>1.0122569311239671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-144543.21835000039</v>
      </c>
      <c r="E31" s="139">
        <v>-36404.078770000167</v>
      </c>
      <c r="F31" s="139">
        <v>74.814398637609926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-108821.57677000039</v>
      </c>
      <c r="E33" s="19">
        <v>25294.560819999897</v>
      </c>
      <c r="F33" s="19">
        <v>123.24406755607041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-35721.641579999996</v>
      </c>
      <c r="E34" s="19">
        <v>-61698.639590000064</v>
      </c>
      <c r="F34" s="19">
        <v>-72.720616581473664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-94143.607760000377</v>
      </c>
      <c r="E35" s="19">
        <v>38297.819579999821</v>
      </c>
      <c r="F35" s="19">
        <v>140.68021238110205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32080.041310000004</v>
      </c>
      <c r="E36" s="106">
        <v>32881.897749999996</v>
      </c>
      <c r="F36" s="106">
        <v>2.49954927505045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9" sqref="J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TABLE III - Regional Gov. budget execution (october)</v>
      </c>
      <c r="D2" s="224"/>
      <c r="E2" s="225"/>
      <c r="F2" s="49" t="str">
        <f>+IF(Índice!$D$2=1,"€ Milhares","€ Thousands")</f>
        <v>€ Thousands</v>
      </c>
      <c r="G2"/>
      <c r="H2" s="286" t="str">
        <f>+IF(Índice!$D$2=1,"índice","Index")</f>
        <v>Index</v>
      </c>
      <c r="K2" s="18"/>
      <c r="Z2" s="7"/>
      <c r="AC2" s="18"/>
    </row>
    <row r="3" spans="2:29" ht="35.1" customHeight="1">
      <c r="C3" s="287"/>
      <c r="D3" s="288">
        <v>2020</v>
      </c>
      <c r="E3" s="288">
        <v>2021</v>
      </c>
      <c r="F3" s="289" t="str">
        <f>+IF(Índice!$D$2=1,"VH (%)","yoy variation (%)")</f>
        <v>yoy variation (%)</v>
      </c>
      <c r="G3"/>
      <c r="H3" s="23"/>
      <c r="Z3" s="7"/>
      <c r="AC3" s="18"/>
    </row>
    <row r="4" spans="2:29" ht="6.75" customHeight="1">
      <c r="C4" s="101"/>
      <c r="D4" s="290"/>
      <c r="E4" s="291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130643.63208999991</v>
      </c>
      <c r="E5" s="225">
        <v>141592.92359000005</v>
      </c>
      <c r="F5" s="225">
        <v>8.3810372727981086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82000.415259999922</v>
      </c>
      <c r="E6" s="231">
        <v>95363.987790000014</v>
      </c>
      <c r="F6" s="231">
        <v>16.296957140555946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27713.813639999986</v>
      </c>
      <c r="E7" s="231">
        <v>34691.036779999973</v>
      </c>
      <c r="F7" s="231">
        <v>25.175976250087786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54286.601619999943</v>
      </c>
      <c r="E8" s="231">
        <v>60672.951010000048</v>
      </c>
      <c r="F8" s="231">
        <v>11.764135531459164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48643.216830000005</v>
      </c>
      <c r="E9" s="231">
        <v>46228.935800000036</v>
      </c>
      <c r="F9" s="231">
        <v>-4.9632429500653386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12063.502659999993</v>
      </c>
      <c r="E10" s="232">
        <v>15299.218069999992</v>
      </c>
      <c r="F10" s="232">
        <v>26.822354180174734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142707.13474999991</v>
      </c>
      <c r="E12" s="232">
        <v>156892.14166000005</v>
      </c>
      <c r="F12" s="232">
        <v>9.9399423405494005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2"/>
      <c r="M13" s="293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102090.71517000024</v>
      </c>
      <c r="E14" s="232">
        <v>90213.624090000594</v>
      </c>
      <c r="F14" s="232">
        <v>-11.633860199942825</v>
      </c>
      <c r="G14"/>
      <c r="H14" s="23"/>
      <c r="K14" s="23"/>
      <c r="M14" s="294">
        <v>0</v>
      </c>
      <c r="N14" s="295"/>
      <c r="O14" s="295"/>
      <c r="P14" s="295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29429.39167999983</v>
      </c>
      <c r="E15" s="231">
        <v>30255.956410000384</v>
      </c>
      <c r="F15" s="231">
        <v>2.8086368178730892</v>
      </c>
      <c r="G15"/>
      <c r="H15" s="23"/>
      <c r="N15" s="295"/>
      <c r="O15" s="295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18547.87849999985</v>
      </c>
      <c r="E16" s="231">
        <v>15364.268599999905</v>
      </c>
      <c r="F16" s="231">
        <v>-17.164280540224432</v>
      </c>
      <c r="G16"/>
      <c r="H16" s="23"/>
      <c r="I16" s="24"/>
      <c r="N16" s="295"/>
      <c r="O16" s="295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1191.7420400000065</v>
      </c>
      <c r="E17" s="231">
        <v>908.32264999997619</v>
      </c>
      <c r="F17" s="231">
        <v>-23.781941098597869</v>
      </c>
      <c r="G17"/>
      <c r="H17" s="23"/>
      <c r="I17" s="24"/>
      <c r="N17" s="295"/>
      <c r="O17" s="295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51973.134840000566</v>
      </c>
      <c r="E18" s="231">
        <v>40769.798090000331</v>
      </c>
      <c r="F18" s="231">
        <v>-21.556015015237652</v>
      </c>
      <c r="G18"/>
      <c r="H18" s="23"/>
      <c r="I18" s="24"/>
      <c r="N18" s="295"/>
      <c r="O18" s="295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874.58949000000212</v>
      </c>
      <c r="E19" s="231">
        <v>2910.1277500000001</v>
      </c>
      <c r="F19" s="231">
        <v>232.74213597055612</v>
      </c>
      <c r="G19"/>
      <c r="H19" s="23"/>
      <c r="I19" s="24"/>
      <c r="N19" s="295"/>
      <c r="O19" s="295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73.978619999999879</v>
      </c>
      <c r="E20" s="231">
        <v>5.150589999999851</v>
      </c>
      <c r="F20" s="231">
        <v>-93.037731712216498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15929.852399999938</v>
      </c>
      <c r="E21" s="232">
        <v>9313.0228199999328</v>
      </c>
      <c r="F21" s="232">
        <v>-41.53729371654461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9074.5681899999454</v>
      </c>
      <c r="E22" s="231">
        <v>2795.5646599999518</v>
      </c>
      <c r="F22" s="231">
        <v>-69.193413929264125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6855.2842099999934</v>
      </c>
      <c r="E23" s="231">
        <v>6517.4581599999819</v>
      </c>
      <c r="F23" s="231">
        <v>-4.9279656342652522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6">
        <v>118020.56757000019</v>
      </c>
      <c r="E25" s="296">
        <v>99526.646910000534</v>
      </c>
      <c r="F25" s="296">
        <v>-15.670082800636054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7" t="str">
        <f>+IF(Índice!$D$2=1,"Saldo global","Overall balance")</f>
        <v>Overall balance</v>
      </c>
      <c r="D27" s="298">
        <v>24686.567179999722</v>
      </c>
      <c r="E27" s="298">
        <v>57365.494749999518</v>
      </c>
      <c r="F27" s="298">
        <v>132.37534134140461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28552.916919999669</v>
      </c>
      <c r="E29" s="19">
        <v>51379.299499999455</v>
      </c>
      <c r="F29" s="19">
        <v>79.944135458928272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-3866.3497399999451</v>
      </c>
      <c r="E30" s="19">
        <v>5986.1952500000589</v>
      </c>
      <c r="F30" s="19">
        <v>254.82808469365588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25878.309219999726</v>
      </c>
      <c r="E31" s="19">
        <v>58273.817399999491</v>
      </c>
      <c r="F31" s="19">
        <v>125.18402150849677</v>
      </c>
      <c r="H31" s="26"/>
      <c r="J31" s="23"/>
      <c r="K31" s="18"/>
      <c r="Z31" s="7"/>
      <c r="AC31" s="18"/>
    </row>
    <row r="32" spans="3:29" ht="12.75">
      <c r="C32" s="299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0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1"/>
      <c r="H33" s="301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TABLE IV - Regional Gov. tax revenue budget execution (january-october)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659440.22031999996</v>
      </c>
      <c r="E5" s="33">
        <v>771322.97192999988</v>
      </c>
      <c r="F5" s="270">
        <v>0.16966322065661643</v>
      </c>
      <c r="G5" s="270">
        <v>0.84772839009469336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187492.46369999999</v>
      </c>
      <c r="E7" s="70">
        <v>251014.46987999996</v>
      </c>
      <c r="F7" s="271">
        <v>0.33879765045724319</v>
      </c>
      <c r="G7" s="271">
        <v>0.81389074969471598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149981.35118999999</v>
      </c>
      <c r="E8" s="70">
        <v>172979.79532999999</v>
      </c>
      <c r="F8" s="271">
        <v>0.15334202524195839</v>
      </c>
      <c r="G8" s="271">
        <v>0.78959570055000905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37511.112509999999</v>
      </c>
      <c r="E9" s="70">
        <v>78034.674549999996</v>
      </c>
      <c r="F9" s="271">
        <v>1.080308189451777</v>
      </c>
      <c r="G9" s="271">
        <v>0.87346613122210237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471947.75662</v>
      </c>
      <c r="E11" s="70">
        <v>520308.50204999995</v>
      </c>
      <c r="F11" s="271">
        <v>0.10247054838516534</v>
      </c>
      <c r="G11" s="271">
        <v>0.86507952254475851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43511.946880000003</v>
      </c>
      <c r="E12" s="70">
        <v>34331.380100000002</v>
      </c>
      <c r="F12" s="271">
        <v>-0.21098956581553907</v>
      </c>
      <c r="G12" s="271">
        <v>0.57026988328474937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348982.50050999998</v>
      </c>
      <c r="E13" s="70">
        <v>401121.41206</v>
      </c>
      <c r="F13" s="271">
        <v>0.14940265335311853</v>
      </c>
      <c r="G13" s="271">
        <v>0.92586427167005669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5153.76476</v>
      </c>
      <c r="E14" s="70">
        <v>3949.0937999999996</v>
      </c>
      <c r="F14" s="271">
        <v>-0.23374581807649297</v>
      </c>
      <c r="G14" s="271">
        <v>0.58057005067701917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28626.57447</v>
      </c>
      <c r="E15" s="70">
        <v>27948.730460000002</v>
      </c>
      <c r="F15" s="271">
        <v>-2.3678837672679309E-2</v>
      </c>
      <c r="G15" s="271">
        <v>0.74028982908407992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5290.9188700000004</v>
      </c>
      <c r="E16" s="70">
        <v>7277.9584100000002</v>
      </c>
      <c r="F16" s="271">
        <v>0.37555660724013329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40382.132299999997</v>
      </c>
      <c r="E17" s="70">
        <v>45679.927220000005</v>
      </c>
      <c r="F17" s="271">
        <v>0.13119155968888774</v>
      </c>
      <c r="G17" s="271">
        <v>0.81581440928424021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22222.289230000002</v>
      </c>
      <c r="E18" s="70">
        <v>25129.289710000001</v>
      </c>
      <c r="F18" s="271">
        <v>0.13081462714811387</v>
      </c>
      <c r="G18" s="271">
        <v>0.8290245615282934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4071.5601499999993</v>
      </c>
      <c r="E19" s="70">
        <v>5259.4000700000006</v>
      </c>
      <c r="F19" s="271">
        <v>0.29174072744571911</v>
      </c>
      <c r="G19" s="271">
        <v>0.86797330859162203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295388.46068000002</v>
      </c>
      <c r="E21" s="33">
        <v>302773.31689999998</v>
      </c>
      <c r="F21" s="270">
        <v>2.500048987357073E-2</v>
      </c>
      <c r="G21" s="270">
        <v>0.67877896250365155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954828.68099999998</v>
      </c>
      <c r="E23" s="139">
        <v>1074096.28883</v>
      </c>
      <c r="F23" s="274">
        <v>0.12490995526557702</v>
      </c>
      <c r="G23" s="274">
        <v>0.792149498054038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TABLE V - Regional Gov. non-tax revenue budget execution (january-october)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659440.22031999996</v>
      </c>
      <c r="E5" s="41">
        <v>771322.97192999988</v>
      </c>
      <c r="F5" s="276">
        <v>0.16966322065661643</v>
      </c>
      <c r="G5" s="42">
        <v>0.84772839009469336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295388.46068000002</v>
      </c>
      <c r="E7" s="41">
        <v>302773.31689999998</v>
      </c>
      <c r="F7" s="276">
        <v>2.500048987357073E-2</v>
      </c>
      <c r="G7" s="42">
        <v>0.67877896250365155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218858.92962000001</v>
      </c>
      <c r="E8" s="41">
        <v>210943.46608000001</v>
      </c>
      <c r="F8" s="276">
        <v>-3.6166966336458994E-2</v>
      </c>
      <c r="G8" s="42">
        <v>0.82139671141898141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13593.902890000001</v>
      </c>
      <c r="E10" s="71">
        <v>14162.754920000003</v>
      </c>
      <c r="F10" s="278">
        <v>4.1846115468314959E-2</v>
      </c>
      <c r="G10" s="43">
        <v>0.65972378415502675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6033.9844599999988</v>
      </c>
      <c r="E11" s="71">
        <v>7820.0910600000007</v>
      </c>
      <c r="F11" s="278">
        <v>0.2960078223337026</v>
      </c>
      <c r="G11" s="43">
        <v>1.1652040536112784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192969.95306</v>
      </c>
      <c r="E12" s="71">
        <v>180366.72396999999</v>
      </c>
      <c r="F12" s="278">
        <v>-6.5311873118823249E-2</v>
      </c>
      <c r="G12" s="43">
        <v>0.96491180544841992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4451.14876</v>
      </c>
      <c r="E13" s="47">
        <v>7305.3787199999997</v>
      </c>
      <c r="F13" s="278">
        <v>0.64123445741678586</v>
      </c>
      <c r="G13" s="43">
        <v>0.89570782875493615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1809.9404500000001</v>
      </c>
      <c r="E14" s="71">
        <v>1288.5174100000002</v>
      </c>
      <c r="F14" s="278">
        <v>-0.2880885058953182</v>
      </c>
      <c r="G14" s="43">
        <v>3.8405816514361424E-2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76529.531059999979</v>
      </c>
      <c r="E17" s="41">
        <v>91829.850819999992</v>
      </c>
      <c r="F17" s="276">
        <v>0.19992700266259833</v>
      </c>
      <c r="G17" s="42">
        <v>0.48524286656291443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538.3682</v>
      </c>
      <c r="E18" s="71">
        <v>4347.4447499999987</v>
      </c>
      <c r="F18" s="278">
        <v>7.0752257469887692</v>
      </c>
      <c r="G18" s="43">
        <v>0.16433295470438589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74851.064699999988</v>
      </c>
      <c r="E19" s="44">
        <v>79210.580730000001</v>
      </c>
      <c r="F19" s="278">
        <v>5.8242538666253729E-2</v>
      </c>
      <c r="G19" s="43">
        <v>0.49157878364503499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1140.09816</v>
      </c>
      <c r="E21" s="47">
        <v>8270.44866</v>
      </c>
      <c r="F21" s="278">
        <v>6.2541549053986722</v>
      </c>
      <c r="G21" s="43">
        <v>4.9973556298773696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7" t="str">
        <f>+IF(Índice!$D$2=1,"Receita efetiva","Effective revenue")</f>
        <v>Effective revenue</v>
      </c>
      <c r="D23" s="298">
        <v>954828.68099999998</v>
      </c>
      <c r="E23" s="298">
        <v>1074096.28883</v>
      </c>
      <c r="F23" s="320">
        <v>0.12490995526557702</v>
      </c>
      <c r="G23" s="320">
        <v>0.792149498054038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N15" sqref="N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TABLE VI - Regional Gov. expenditure budget execution (january-october)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2021</v>
      </c>
      <c r="E3" s="330">
        <v>2022</v>
      </c>
      <c r="F3" s="153" t="s">
        <v>95</v>
      </c>
      <c r="G3" s="153" t="s">
        <v>96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987120.72671000031</v>
      </c>
      <c r="E5" s="253">
        <v>956971.87719000003</v>
      </c>
      <c r="F5" s="253">
        <v>65.965199364712689</v>
      </c>
      <c r="G5" s="253">
        <v>74.361552629465336</v>
      </c>
      <c r="H5" s="253">
        <v>-3.0542211002380775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306602.18345000001</v>
      </c>
      <c r="E6" s="74">
        <v>323760.29097999993</v>
      </c>
      <c r="F6" s="74">
        <v>74.129828143959145</v>
      </c>
      <c r="G6" s="74">
        <v>77.294443044249206</v>
      </c>
      <c r="H6" s="254">
        <v>5.5962117871864487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248381.18836999979</v>
      </c>
      <c r="E7" s="75">
        <v>262222.65659999993</v>
      </c>
      <c r="F7" s="75">
        <v>75.386467727592361</v>
      </c>
      <c r="G7" s="75">
        <v>78.656312958702031</v>
      </c>
      <c r="H7" s="254">
        <v>5.5726717151305643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4408.9416699999983</v>
      </c>
      <c r="E8" s="75">
        <v>4622.1885999999986</v>
      </c>
      <c r="F8" s="75">
        <v>68.192688422107935</v>
      </c>
      <c r="G8" s="75">
        <v>75.725193966216324</v>
      </c>
      <c r="H8" s="254">
        <v>4.8366920218293643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53812.053409999979</v>
      </c>
      <c r="E9" s="75">
        <v>56915.445780000009</v>
      </c>
      <c r="F9" s="75">
        <v>69.292685952562351</v>
      </c>
      <c r="G9" s="75">
        <v>71.695888791030484</v>
      </c>
      <c r="H9" s="254">
        <v>5.7670952385982028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121464.51817</v>
      </c>
      <c r="E10" s="75">
        <v>131338.52890999999</v>
      </c>
      <c r="F10" s="75">
        <v>62.159857174386993</v>
      </c>
      <c r="G10" s="75">
        <v>69.997593284815935</v>
      </c>
      <c r="H10" s="254">
        <v>8.1291317734290711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50399.610590000011</v>
      </c>
      <c r="E11" s="75">
        <v>74701.898349999989</v>
      </c>
      <c r="F11" s="75">
        <v>57.260027861990515</v>
      </c>
      <c r="G11" s="75">
        <v>72.841703350681954</v>
      </c>
      <c r="H11" s="254">
        <v>48.219197480906509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490445.34761000017</v>
      </c>
      <c r="E12" s="74">
        <v>405592.10777</v>
      </c>
      <c r="F12" s="74">
        <v>64.746593292905388</v>
      </c>
      <c r="G12" s="74">
        <v>74.400262510732404</v>
      </c>
      <c r="H12" s="254">
        <v>-17.301263077221616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413882.32100000011</v>
      </c>
      <c r="E13" s="74">
        <v>333982.31995999999</v>
      </c>
      <c r="F13" s="74">
        <v>71.93943917226018</v>
      </c>
      <c r="G13" s="74">
        <v>77.457022750656535</v>
      </c>
      <c r="H13" s="254">
        <v>-19.305004583657993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240</v>
      </c>
      <c r="E14" s="75">
        <v>274.87770999999998</v>
      </c>
      <c r="F14" s="74">
        <v>87.989763857471246</v>
      </c>
      <c r="G14" s="74">
        <v>99.99953070260004</v>
      </c>
      <c r="H14" s="254">
        <v>14.53237916666666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413642.32100000011</v>
      </c>
      <c r="E15" s="75">
        <v>333707.44225000002</v>
      </c>
      <c r="F15" s="75">
        <v>71.931826116140059</v>
      </c>
      <c r="G15" s="75">
        <v>77.453427430487679</v>
      </c>
      <c r="H15" s="254">
        <v>-19.324637420260505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112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112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76563.026610000044</v>
      </c>
      <c r="E18" s="75">
        <v>71609.787810000009</v>
      </c>
      <c r="F18" s="72">
        <v>42.029739328093363</v>
      </c>
      <c r="G18" s="72">
        <v>62.835049687614287</v>
      </c>
      <c r="H18" s="77">
        <v>-6.4694918935624779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17826.601270000003</v>
      </c>
      <c r="E19" s="72">
        <v>20862.276790000004</v>
      </c>
      <c r="F19" s="72">
        <v>54.491522293406206</v>
      </c>
      <c r="G19" s="72">
        <v>68.985739201388412</v>
      </c>
      <c r="H19" s="77">
        <v>17.028907945053287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382.46562</v>
      </c>
      <c r="E20" s="72">
        <v>716.77439000000004</v>
      </c>
      <c r="F20" s="72">
        <v>4.1570154011429388</v>
      </c>
      <c r="G20" s="72">
        <v>28.966421512862595</v>
      </c>
      <c r="H20" s="77">
        <v>87.40884213331384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936721.11612000025</v>
      </c>
      <c r="E22" s="78">
        <v>882269.97884</v>
      </c>
      <c r="F22" s="78">
        <v>66.509231529197592</v>
      </c>
      <c r="G22" s="78">
        <v>74.493155977964491</v>
      </c>
      <c r="H22" s="76">
        <v>-5.8129507644220437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112251.17263999998</v>
      </c>
      <c r="E24" s="78">
        <v>153528.49041000006</v>
      </c>
      <c r="F24" s="78">
        <v>32.258437474743126</v>
      </c>
      <c r="G24" s="78">
        <v>51.630340256233154</v>
      </c>
      <c r="H24" s="76">
        <v>36.772282016491985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65984.209889999955</v>
      </c>
      <c r="E25" s="72">
        <v>72961.266870000065</v>
      </c>
      <c r="F25" s="72">
        <v>35.44388919406574</v>
      </c>
      <c r="G25" s="72">
        <v>43.994711241330933</v>
      </c>
      <c r="H25" s="77">
        <v>10.57382818045609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46266.962750000013</v>
      </c>
      <c r="E26" s="59">
        <v>80567.223539999992</v>
      </c>
      <c r="F26" s="59">
        <v>28.951349422938648</v>
      </c>
      <c r="G26" s="59">
        <v>61.720835536320365</v>
      </c>
      <c r="H26" s="77">
        <v>74.135535922984204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35981.270500000013</v>
      </c>
      <c r="E27" s="59">
        <v>72078.528489999997</v>
      </c>
      <c r="F27" s="59">
        <v>25.083958055553829</v>
      </c>
      <c r="G27" s="59">
        <v>56.759119082377815</v>
      </c>
      <c r="H27" s="77">
        <v>100.32235518198272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4063.8187399999997</v>
      </c>
      <c r="E28" s="72">
        <v>5168.9507100000001</v>
      </c>
      <c r="F28" s="72">
        <v>54.457999337737604</v>
      </c>
      <c r="G28" s="72">
        <v>85.434674081543704</v>
      </c>
      <c r="H28" s="77">
        <v>27.194420831870087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30248.110430000008</v>
      </c>
      <c r="E29" s="72">
        <v>66374.128439999986</v>
      </c>
      <c r="F29" s="72">
        <v>23.065821262057121</v>
      </c>
      <c r="G29" s="72">
        <v>55.706903696366709</v>
      </c>
      <c r="H29" s="77">
        <v>119.43231327987442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535.44934000000001</v>
      </c>
      <c r="F30" s="72">
        <v>34.470432212960169</v>
      </c>
      <c r="G30" s="72">
        <v>29.893330728003576</v>
      </c>
      <c r="H30" s="77">
        <v>-67.924514275339959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1099371.8993500003</v>
      </c>
      <c r="E33" s="142">
        <v>1110500.3676</v>
      </c>
      <c r="F33" s="143">
        <v>59.605900788773994</v>
      </c>
      <c r="G33" s="143">
        <v>70.095020203540003</v>
      </c>
      <c r="H33" s="141">
        <v>1.0122569311239764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32080.041310000004</v>
      </c>
      <c r="E36" s="150">
        <v>32881.897749999996</v>
      </c>
      <c r="F36" s="150">
        <v>60.825961089713147</v>
      </c>
      <c r="G36" s="150">
        <v>65.841273560249277</v>
      </c>
      <c r="H36" s="128">
        <v>2.4995492750504571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168583.35145999998</v>
      </c>
      <c r="E37" s="150">
        <v>442821.64507999999</v>
      </c>
      <c r="F37" s="150">
        <v>65.762565276376876</v>
      </c>
      <c r="G37" s="150">
        <v>83.459240448495564</v>
      </c>
      <c r="H37" s="128">
        <v>162.6722278593856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2022-11-24T17:10:43Z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