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Novembro\"/>
    </mc:Choice>
  </mc:AlternateContent>
  <xr:revisionPtr revIDLastSave="0" documentId="13_ncr:1_{E771702B-EC73-4602-8089-0998C09CD6AF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1_12_13_14_Compromissos" sheetId="38" r:id="rId15"/>
    <sheet name="Pagamentos_Atraso " sheetId="53" r:id="rId16"/>
  </sheets>
  <externalReferences>
    <externalReference r:id="rId17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Q_11_12_13_14_Compromissos!$C$1:$I$48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Q8_D_Est_Org!$C$1:$P$46</definedName>
    <definedName name="_xlnm.Print_Area" localSheetId="10">'Q9_Saldo_Global EPR'!$C$1:$E$7</definedName>
    <definedName name="CLASS_ECO">[1]DGO!$C$4:$C$1092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Q8_D_Est_Org!$B$1:$AG$47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Q8_D_Est_Org!$B$1:$AG$47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Q8_D_Est_Org!$Q:$AE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Q8_D_Est_Org!$B$1:$AG$47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Q8_D_Est_Org!$B$1:$AG$47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Q8_D_Est_Org!$Q:$AE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Q8_D_Est_Org!$B$1:$AG$47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Q8_D_Est_Org!$Q:$AE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Q8_D_Est_Org!$B$1:$AG$47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Q8_D_Est_Org!$Q:$AE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Q8_D_Est_Org!$B$1:$AG$47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Q8_D_Est_Org!$Q:$AE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Q8_D_Est_Org!$B$1:$AG$47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Q8_D_Est_Org!$Q:$AE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Q8_D_Est_Org!$B$1:$AG$47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Q8_D_Est_Org!$D$1:$P$47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Q8_D_Est_Org!$Q:$AE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Q8_D_Est_Org!$B$1:$AG$47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Q8_D_Est_Org!$Q:$AE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Q8_D_Est_Org!$B$1:$AG$47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" i="61" l="1"/>
  <c r="D42" i="38"/>
  <c r="C41" i="38"/>
  <c r="D33" i="38"/>
  <c r="C32" i="38"/>
  <c r="D24" i="38"/>
  <c r="C23" i="38"/>
  <c r="D3" i="38"/>
  <c r="C2" i="60"/>
  <c r="C2" i="9"/>
  <c r="C2" i="50"/>
  <c r="C2" i="10"/>
  <c r="C2" i="11"/>
  <c r="C2" i="12"/>
  <c r="C2" i="39"/>
  <c r="C2" i="13"/>
  <c r="C2" i="51"/>
  <c r="C2" i="61"/>
  <c r="C2" i="38"/>
  <c r="C2" i="32"/>
  <c r="C2" i="8"/>
  <c r="C46" i="12"/>
  <c r="F33" i="38" l="1"/>
  <c r="E33" i="38"/>
  <c r="F42" i="38"/>
  <c r="E42" i="38"/>
  <c r="F24" i="38"/>
  <c r="E24" i="38"/>
  <c r="G24" i="38"/>
  <c r="G33" i="38"/>
  <c r="G42" i="38"/>
  <c r="G3" i="38"/>
  <c r="A16" i="54" l="1"/>
  <c r="A8" i="54"/>
  <c r="A14" i="54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<sst xmlns="http://schemas.openxmlformats.org/spreadsheetml/2006/main" count="127" uniqueCount="109">
  <si>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</si>
  <si>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</si>
  <si>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</si>
  <si>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</si>
  <si>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</si>
  <si>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</si>
  <si>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</si>
  <si>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</si>
  <si>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</si>
  <si>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</si>
  <si>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</si>
  <si>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</si>
  <si>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</si>
  <si>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</si>
  <si>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Presidência do Governo</t>
  </si>
  <si>
    <t>Secretaria Geral da Presidência</t>
  </si>
  <si>
    <t>Direção Regional das Comunidades e Cooperação Externa</t>
  </si>
  <si>
    <t>Secretaria Regional de Educação, Ciência e Tecnologia</t>
  </si>
  <si>
    <t>Gabinete da Unidade de Gestão e Planeamento da SRE</t>
  </si>
  <si>
    <t>Inspeção Regional de Educação</t>
  </si>
  <si>
    <t>Escola Básica dos 1º, 2º e 3º Ciclos Com Pré-Escolar de Bartolomeu Perestrelo</t>
  </si>
  <si>
    <t>Escola Básica e Secundária de Machico</t>
  </si>
  <si>
    <t>Escola Básica e Secundaria Com Pré-Escolar da Calheta</t>
  </si>
  <si>
    <t>Escola Básica e Secundária Padre Manuel Álvares, Ribeira Brava</t>
  </si>
  <si>
    <t>Escola Básica dos 2º e 3º Ciclos do Estreito de Câmara de Lobos</t>
  </si>
  <si>
    <t>Escola Básica e Secundária de Santa Cruz</t>
  </si>
  <si>
    <t>Escola Básica e Secundária Prof.Doutor Freitas Branco-Porto Santo</t>
  </si>
  <si>
    <t>Escola Básica e Secundária da Ponta do Sol</t>
  </si>
  <si>
    <t>Escola Básica dos 2º e 3º Ciclos Dr. Horácio Bento de Gouveia-Funchal</t>
  </si>
  <si>
    <t>Escola Básica Com Pré-Escolar de Santo António e Curral das Freiras</t>
  </si>
  <si>
    <t>Escola Básica e Secundária Bispo D. Manuel Ferreira Cabral, Santana</t>
  </si>
  <si>
    <t>Escola Básica e Secundária D. Lucinda Andrade, São Vicente</t>
  </si>
  <si>
    <t>Escola Secundária Jaime Moniz, Funchal</t>
  </si>
  <si>
    <t>Escola Secundária Francisco Franco, Funchal</t>
  </si>
  <si>
    <t>Escola Básica e Secundária Dr. Luís Maurílio da Silva Dantas, Carmo</t>
  </si>
  <si>
    <t>Escola Básica dos 2º e 3º Ciclos do Caniço</t>
  </si>
  <si>
    <t>Escola Básica dos 2º e 3º Ciclos dos Louros, Funchal</t>
  </si>
  <si>
    <t>Escola Básica dos 2º e 3º Ciclos Dr. Eduardo Brazão de Castro, São Roque</t>
  </si>
  <si>
    <t>Escola Básica e Secundária Com Pré-Escolar e Creche do Porto Moniz</t>
  </si>
  <si>
    <t>Escola Básica dos 2º e 3º Ciclos da Torre</t>
  </si>
  <si>
    <t>Escola Básica dos 2º e 3º Ciclos do Caniçal</t>
  </si>
  <si>
    <t>Escola Básica dos 1º, 2º e 3º Ciclo e Pre-Escolar Porto da Cruz</t>
  </si>
  <si>
    <t>Escola Básica 2 3 Ciclos Cónego João Jacinto Gonçalves de Andrade-Campanário</t>
  </si>
  <si>
    <t>Direção Regional de Juventude</t>
  </si>
  <si>
    <t>Secretaria Regional de Economia</t>
  </si>
  <si>
    <t>Direção Regional da Economia e Transportes</t>
  </si>
  <si>
    <t>Autoridade Regional das Atividades Económicas</t>
  </si>
  <si>
    <t>Gabinete do Secretário Regional</t>
  </si>
  <si>
    <t>Secretaria Regional das Finanças</t>
  </si>
  <si>
    <t>Direção Regional da Administração Pública e Modernização Administrativa</t>
  </si>
  <si>
    <t>Direção Regional dos Assuntos Europeus e Cooperação Externa</t>
  </si>
  <si>
    <t>Inspeção Regional de Finanças</t>
  </si>
  <si>
    <t>Autoridade Tributária e Assuntos Fiscais da RAM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</si>
  <si>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</si>
  <si>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</si>
  <si>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</si>
  <si>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</si>
  <si>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Secretaria Regional de Turismo e Cultura</t>
  </si>
  <si>
    <t>Gabinete do Secretário Regional do Turismo e Cultura</t>
  </si>
  <si>
    <t>Direção Regional de Turismo</t>
  </si>
  <si>
    <t>Direção Regional da Cultura</t>
  </si>
  <si>
    <t>Direção Regional do Arquivo e Biblioteca da Madeira</t>
  </si>
  <si>
    <t>Secretaria Regional de Inclusão Social e Cidadania</t>
  </si>
  <si>
    <t>Gabinete da Secretária Regional</t>
  </si>
  <si>
    <t>Direção Regional do Trabalho e Ação Inspetiva</t>
  </si>
  <si>
    <t>Secretaria Regional de Mar e Pescas</t>
  </si>
  <si>
    <t>Gabinete do Secretário Regional de Mar e Pescas</t>
  </si>
  <si>
    <t>Direção Regional de Pescas</t>
  </si>
  <si>
    <t>Direção Regional do Mar</t>
  </si>
  <si>
    <t>Secretaria Regional de Agricultura e Desenvolvimento Rural</t>
  </si>
  <si>
    <t>Gabinete do Secretario Regional de Agricultura e Desenvolvimento Rural</t>
  </si>
  <si>
    <t>Secretaria Regional de Equipamentos e Infraestruturas</t>
  </si>
  <si>
    <t>Gabinete do Secretário Regional dos Equipamentos Infraestruturas</t>
  </si>
  <si>
    <t>Direção Regional de Planeamento, Recursos e Gestão de Obras Públicas</t>
  </si>
  <si>
    <t>Laboratório Regional de Engenharia Civil</t>
  </si>
  <si>
    <t>Direção Regional de Equipamento Social e Conservação</t>
  </si>
  <si>
    <t>Unidade de Acompanhamento da Construção do Hospital Central da Madeira</t>
  </si>
  <si>
    <t>Conservatório -Escola Profissional das Artes da Madeira</t>
  </si>
  <si>
    <t>Instituto das Artes da Madeira</t>
  </si>
  <si>
    <t>Instituto para a Qualificação</t>
  </si>
  <si>
    <t>ARDITI-Agencia Regional Para Desenvolvimento da Inv. Tecnologica e Inovaçao</t>
  </si>
  <si>
    <t>EPHTM-Escola Profissional de Hotelaria e Turismo da Madeira</t>
  </si>
  <si>
    <t>Instituto de Desenvolvimento Empresarial</t>
  </si>
  <si>
    <t>APRAM -Administração dos Portos da Região Autónoma da Madeira, S.A.</t>
  </si>
  <si>
    <t>Fundo de Estabilização Tributária da Região Autónoma da Madeira</t>
  </si>
  <si>
    <t>Gabinete de Gestão da Loja do Cidadão</t>
  </si>
  <si>
    <t>Instituto de Desenvolvimento Regional, IP-RAM</t>
  </si>
  <si>
    <t>PATRIRAM-Titularidade e Gestão do Património Público Regional, S.A.</t>
  </si>
  <si>
    <t>Serviço Regional de Proteção Civil,IP-RAM</t>
  </si>
  <si>
    <t>Instituto de Emprego da Madeira, IP-RAM</t>
  </si>
  <si>
    <t>Secretaria Regional de Ambiente, Recursos Naturais e Alterações Climáticas</t>
  </si>
  <si>
    <t>Instituto das Florestas e Conservação da Natureza, IP-RAM</t>
  </si>
  <si>
    <t>Instituto do Vinho, do Bordado e do Artesanato da Madeira</t>
  </si>
  <si>
    <t>CARAM -Centro de Abate da Região Autónoma da Madeira, EPERAM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</si>
  <si>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</si>
  <si>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</si>
  <si>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</si>
  <si>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</si>
  <si>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IHM-Investimentos Habitacionais da Madeira, EPERAM</t>
  </si>
  <si>
    <t>Escola Básica e Secundária de Gonçalves Zarco, Funchal</t>
  </si>
  <si>
    <t>Direção Regional do Orçamento e Tesouro</t>
  </si>
  <si>
    <t>Direção Regional do Património</t>
  </si>
  <si>
    <t>Direção Regional dos Assuntos Sociais</t>
  </si>
  <si>
    <t>Direção Regional do Ordenamento do Território</t>
  </si>
  <si>
    <t>Drpri-Gabinete do Diretor Regional</t>
  </si>
  <si>
    <t>Escola Básica e Secundária Dr. Ângelo Augusto da Silva, Funchal</t>
  </si>
  <si>
    <t>Gabinete do Secretario e Serviços Dependentes-SRS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</si>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</sst>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5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0" fontId="69" fillId="0" borderId="0" xfId="0" applyFont="1" applyBorder="1" applyAlignment="1">
      <alignment vertical="center"/>
    </xf>
    <xf numFmtId="0" fontId="0" fillId="0" borderId="0" xfId="0" applyBorder="1"/>
    <xf numFmtId="0" fontId="69" fillId="0" borderId="0" xfId="0" applyFont="1" applyBorder="1"/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1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12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ugo.costa/Documents/USR_DATA/hugo.costa/Hugo/DROC/Pagamentos%20em%20atraso/2023/Maio/MPA_Maio_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E"/>
      <sheetName val="SREM"/>
      <sheetName val="SRF"/>
      <sheetName val="SRS"/>
      <sheetName val="SRTC"/>
      <sheetName val="SRIC"/>
      <sheetName val="SRAAC"/>
      <sheetName val="SRMAR"/>
      <sheetName val="SRA"/>
      <sheetName val="SR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">
          <cell r="C4" t="str">
            <v xml:space="preserve">Impostos directos </v>
          </cell>
        </row>
        <row r="17">
          <cell r="C17" t="str">
            <v>Impostos indirectos</v>
          </cell>
        </row>
        <row r="33">
          <cell r="C33" t="str">
            <v>Contribuições de Segurança Social</v>
          </cell>
        </row>
        <row r="46">
          <cell r="C46" t="str">
            <v>Outras receitas correntes</v>
          </cell>
        </row>
        <row r="78">
          <cell r="C78" t="str">
            <v>Outras receitas correntes</v>
          </cell>
        </row>
        <row r="109">
          <cell r="C109" t="str">
            <v>Outras receitas correntes</v>
          </cell>
        </row>
        <row r="116">
          <cell r="C116" t="str">
            <v>Outras receitas correntes(das quais:transf. de Outros Subsectores da AP)</v>
          </cell>
        </row>
        <row r="129">
          <cell r="C129" t="str">
            <v>Outras receitas correntes(das quais:transf. de Outros Subsectores da AP)</v>
          </cell>
        </row>
        <row r="130">
          <cell r="C130" t="str">
            <v>Outras receitas correntes(das quais:transf. de Subsectores da APR)</v>
          </cell>
        </row>
        <row r="134">
          <cell r="C134" t="str">
            <v>Outras receitas correntes(das quais:transf. de Outros Subsectores da AP)</v>
          </cell>
        </row>
        <row r="151">
          <cell r="C151" t="str">
            <v>Outras receitas correntes</v>
          </cell>
        </row>
        <row r="180">
          <cell r="C180" t="str">
            <v>Outras receitas correntes</v>
          </cell>
        </row>
        <row r="186">
          <cell r="C186" t="str">
            <v>RECEITAS DE CAPITAL</v>
          </cell>
        </row>
        <row r="239">
          <cell r="C239" t="str">
            <v>RECEITAS DE CAPITAL</v>
          </cell>
        </row>
        <row r="246">
          <cell r="C246" t="str">
            <v>RECEITAS DE CAPITAL(das quais:transf. de Outros Subsectores da AP)</v>
          </cell>
        </row>
        <row r="258">
          <cell r="C258" t="str">
            <v>RECEITAS DE CAPITAL(das quais:transf. de Outros Subsectores da AP)</v>
          </cell>
        </row>
        <row r="259">
          <cell r="C259" t="str">
            <v>RECEITAS DE CAPITAL(das quais:transf. de Subsectores da APR)</v>
          </cell>
        </row>
        <row r="264">
          <cell r="C264" t="str">
            <v>RECEITAS DE CAPITAL(das quais:transf. de Outros Subsectores da AP)</v>
          </cell>
        </row>
        <row r="280">
          <cell r="C280" t="str">
            <v>ACTIVOS FINANCEIROS RECEITA</v>
          </cell>
        </row>
        <row r="400">
          <cell r="C400" t="str">
            <v>PASSIVOS FINANCEIROS RECEITA</v>
          </cell>
        </row>
        <row r="492">
          <cell r="C492" t="str">
            <v>RECEITAS DE CAPITAL</v>
          </cell>
        </row>
        <row r="497">
          <cell r="C497" t="str">
            <v>RECURSOS PROPRIOS DA COMUNIDADE:</v>
          </cell>
        </row>
        <row r="503">
          <cell r="C503" t="str">
            <v>RECEITAS DE CAPITAL</v>
          </cell>
        </row>
        <row r="506">
          <cell r="C506" t="str">
            <v>SALDO DA GERENCIA ANTERIOR</v>
          </cell>
        </row>
        <row r="513">
          <cell r="C513" t="str">
            <v>OPERACOES EXTRA-ORCAMENTAIS RECEITA</v>
          </cell>
        </row>
        <row r="519">
          <cell r="C519" t="str">
            <v>Despesas com o Pessoal</v>
          </cell>
        </row>
        <row r="562">
          <cell r="C562" t="str">
            <v>Aquisição de  Bens Serv. e Outras Desp. Corr.</v>
          </cell>
        </row>
        <row r="611">
          <cell r="C611" t="str">
            <v>Juros e Outros Encargos</v>
          </cell>
        </row>
        <row r="648">
          <cell r="C648" t="str">
            <v>Transferências Correntes</v>
          </cell>
        </row>
        <row r="650">
          <cell r="C650" t="str">
            <v>Transferências Correntes(das quais:transf. para EP fora do perímetro APR)</v>
          </cell>
        </row>
        <row r="655">
          <cell r="C655" t="str">
            <v>Transferências Correntes(das quais:transf. para Outros Subsectores da AP)</v>
          </cell>
        </row>
        <row r="666">
          <cell r="C666" t="str">
            <v>Transferências Correntes(das quais:transf. para Outros Subsectores da AP)</v>
          </cell>
        </row>
        <row r="667">
          <cell r="C667" t="str">
            <v>Transferências Correntes(das quais:transf. para Subsectores da APR)</v>
          </cell>
        </row>
        <row r="693">
          <cell r="C693" t="str">
            <v>Subsidios</v>
          </cell>
        </row>
        <row r="712">
          <cell r="C712" t="str">
            <v>D.05.04.03</v>
          </cell>
        </row>
        <row r="730">
          <cell r="C730" t="str">
            <v>Aquisição de  Bens Serv. e Outras Desp. Corr.</v>
          </cell>
        </row>
        <row r="731">
          <cell r="C731" t="str">
            <v>DESPESA CORRENTEdos quais DOTAÇÃO PROVISIONAL</v>
          </cell>
        </row>
        <row r="736">
          <cell r="C736" t="str">
            <v>Investimentos</v>
          </cell>
        </row>
        <row r="770">
          <cell r="C770" t="str">
            <v>Transferências de Capital</v>
          </cell>
        </row>
        <row r="772">
          <cell r="C772" t="str">
            <v>Transferências de Capital(das quais:transf. para EP fora do perímetro APR)</v>
          </cell>
        </row>
        <row r="777">
          <cell r="C777" t="str">
            <v>Transferências de Capital(das quais:transf. para Outros Subsectores da AP)</v>
          </cell>
        </row>
        <row r="787">
          <cell r="C787" t="str">
            <v>Transferências de Capital(das quais:transf. para Outros Subsectores da AP)</v>
          </cell>
        </row>
        <row r="788">
          <cell r="C788" t="str">
            <v>Transferências de Capital(das quais:transf. para Subsectores da APR)</v>
          </cell>
        </row>
        <row r="792">
          <cell r="C792" t="str">
            <v>Transferências de Capital(das quais:transf. para Outros Subsectores da AP)</v>
          </cell>
        </row>
        <row r="811">
          <cell r="C811" t="str">
            <v>ACTIVOS FINANCEIROS DESPESA</v>
          </cell>
        </row>
        <row r="965">
          <cell r="C965" t="str">
            <v>PASSIVOS FINANCEIROS DESPESA</v>
          </cell>
        </row>
        <row r="1085">
          <cell r="C1085" t="str">
            <v>Outras despesas de capital</v>
          </cell>
        </row>
        <row r="1086">
          <cell r="C1086" t="str">
            <v>Outras despesas de capitaldos quais Dotação Provisional</v>
          </cell>
        </row>
        <row r="1088">
          <cell r="C1088" t="str">
            <v>OPERACOES EXTRA-ORCAMENTAIS DESPESA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Q26" sqref="Q26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(janeiro-novembro)","TABLE VIII - Budget execution by organic and economic cross-classification (january-november)")</f>
        <v>QUADRO VIII - Execução orçamental por classificação cruzada orgânica e económica (janeiro-novembro)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Milhares</v>
      </c>
      <c r="R2" s="190" t="str">
        <f>+IF(Índice!$D$2=1,"índice","Index")</f>
        <v>índice</v>
      </c>
    </row>
    <row r="3" spans="2:18" ht="48" customHeight="1">
      <c r="C3" s="191"/>
      <c r="D3" s="192" t="str">
        <f>+IF(Índice!$D$2=1,"Assembleia Legislativa","Parliament of Madeira")</f>
        <v>Assembleia Legislativa</v>
      </c>
      <c r="E3" s="192" t="str">
        <f>+IF(Índice!$D$2=1,"Presidência do Governo","Presidency of the Government")</f>
        <v>Presidência do Governo</v>
      </c>
      <c r="F3" s="192" t="str">
        <f>+IF(Índice!$D$2=1,"Educação, Ciência e Tecnologia","Education, Science and Technology")</f>
        <v>Educação, Ciência e Tecnologia</v>
      </c>
      <c r="G3" s="192" t="str">
        <f>+IF(Índice!$D$2=1,"Economia","Economy")</f>
        <v>Economia</v>
      </c>
      <c r="H3" s="192" t="str">
        <f>+IF(Índice!$D$2=1,"Finanças","Finances")</f>
        <v>Finanças</v>
      </c>
      <c r="I3" s="192" t="str">
        <f>+IF(Índice!$D$2=1,"Saúde e Proteção Civil","Health and Civil Protection")</f>
        <v>Saúde e Proteção Civil</v>
      </c>
      <c r="J3" s="192" t="str">
        <f>+IF(Índice!$D$2=1,"Turismo e Cultura","Tourism and Culture")</f>
        <v>Turismo e Cultura</v>
      </c>
      <c r="K3" s="192" t="str">
        <f>+IF(Índice!$D$2=1,"Inclusão Social e Cidadania","Social Inclusion and Citizenship")</f>
        <v>Inclusão Social e Cidadania</v>
      </c>
      <c r="L3" s="192" t="str">
        <f>+IF(Índice!$D$2=1,"Ambiente, Recursos Naturais e Alterações Climáticas","Environment, Natural Resources and Climate Changes")</f>
        <v>Ambiente, Recursos Naturais e Alterações Climáticas</v>
      </c>
      <c r="M3" s="192" t="str">
        <f>+IF(Índice!$D$2=1,"Mar e Pescas","Sea and fisheries")</f>
        <v>Mar e Pescas</v>
      </c>
      <c r="N3" s="192" t="str">
        <f>+IF(Índice!$D$2=1,"Agricultura e Desenvolvimento Rural","Agriculture and Rural Development")</f>
        <v>Agricultura e Desenvolvimento Rural</v>
      </c>
      <c r="O3" s="192" t="str">
        <f>+IF(Índice!$D$2=1,"Equipamentos e Infraestruturas","Equipment and infrastructures")</f>
        <v>Equipamentos e Infraestruturas</v>
      </c>
      <c r="P3" s="193" t="s">
        <v>5</v>
      </c>
    </row>
    <row r="4" spans="2:18" ht="27" customHeight="1">
      <c r="C4" s="253" t="str">
        <f>+IF(Índice!$D$2=1,"Despesa corrente","Current expenditure")</f>
        <v>Despesa corrente</v>
      </c>
      <c r="D4" s="194">
        <v>13150</v>
      </c>
      <c r="E4" s="194">
        <v>2486.5178300000002</v>
      </c>
      <c r="F4" s="194">
        <v>393666.02286000008</v>
      </c>
      <c r="G4" s="194">
        <v>37346.54679</v>
      </c>
      <c r="H4" s="194">
        <v>166657.92937999999</v>
      </c>
      <c r="I4" s="194">
        <v>348224.02130000002</v>
      </c>
      <c r="J4" s="194">
        <v>27979.93564</v>
      </c>
      <c r="K4" s="194">
        <v>20697.653319999998</v>
      </c>
      <c r="L4" s="194">
        <v>16586.213029999995</v>
      </c>
      <c r="M4" s="194">
        <v>6654.078059999998</v>
      </c>
      <c r="N4" s="194">
        <v>26201.520559999994</v>
      </c>
      <c r="O4" s="194">
        <v>104645.84983000001</v>
      </c>
      <c r="P4" s="194">
        <v>1164296.2886000001</v>
      </c>
    </row>
    <row r="5" spans="2:18" ht="15" customHeight="1">
      <c r="B5" s="195"/>
      <c r="C5" s="104" t="str">
        <f>+IF(Índice!$D$2=1,"Despesas com o pessoal","Compensation of employees")</f>
        <v>Despesas com o pessoal</v>
      </c>
      <c r="D5" s="196">
        <v>0</v>
      </c>
      <c r="E5" s="196">
        <v>1605.8010300000001</v>
      </c>
      <c r="F5" s="196">
        <v>307854.95304000005</v>
      </c>
      <c r="G5" s="196">
        <v>6348.2745799999993</v>
      </c>
      <c r="H5" s="196">
        <v>28091.213520000012</v>
      </c>
      <c r="I5" s="196">
        <v>4909.6320700000006</v>
      </c>
      <c r="J5" s="196">
        <v>11496.524259999998</v>
      </c>
      <c r="K5" s="196">
        <v>5155.3231400000004</v>
      </c>
      <c r="L5" s="196">
        <v>5334.0740999999971</v>
      </c>
      <c r="M5" s="196">
        <v>5327.1952399999991</v>
      </c>
      <c r="N5" s="196">
        <v>16539.484489999999</v>
      </c>
      <c r="O5" s="196">
        <v>14725.477489999999</v>
      </c>
      <c r="P5" s="196">
        <v>407387.95295999997</v>
      </c>
      <c r="Q5" s="21"/>
    </row>
    <row r="6" spans="2:18" ht="15" customHeight="1">
      <c r="B6" s="195"/>
      <c r="C6" s="109" t="str">
        <f>+IF(Índice!$D$2=1,"Remunerações Certas e Permanentes","Certain and permanent wages")</f>
        <v>Remunerações Certas e Permanentes</v>
      </c>
      <c r="D6" s="197">
        <v>0</v>
      </c>
      <c r="E6" s="198">
        <v>1270.2786100000001</v>
      </c>
      <c r="F6" s="198">
        <v>253748.67737000008</v>
      </c>
      <c r="G6" s="198">
        <v>5243.0364999999993</v>
      </c>
      <c r="H6" s="198">
        <v>21663.84510000001</v>
      </c>
      <c r="I6" s="198">
        <v>3996.4553900000001</v>
      </c>
      <c r="J6" s="198">
        <v>9498.0316099999982</v>
      </c>
      <c r="K6" s="198">
        <v>4155.3610600000002</v>
      </c>
      <c r="L6" s="198">
        <v>4435.6168199999975</v>
      </c>
      <c r="M6" s="198">
        <v>4294.8472199999997</v>
      </c>
      <c r="N6" s="198">
        <v>13391.577649999997</v>
      </c>
      <c r="O6" s="198">
        <v>12081.467070000001</v>
      </c>
      <c r="P6" s="198">
        <v>333779.19440000015</v>
      </c>
    </row>
    <row r="7" spans="2:18" ht="15" customHeight="1">
      <c r="B7" s="195"/>
      <c r="C7" s="109" t="str">
        <f>+IF(Índice!$D$2=1,"Abonos Variáveis ou Eventuais","Variable or contingent bonuses")</f>
        <v>Abonos Variáveis ou Eventuais</v>
      </c>
      <c r="D7" s="197">
        <v>0</v>
      </c>
      <c r="E7" s="198">
        <v>22.441479999999999</v>
      </c>
      <c r="F7" s="198">
        <v>3080.8807100000013</v>
      </c>
      <c r="G7" s="198">
        <v>54.542349999999999</v>
      </c>
      <c r="H7" s="198">
        <v>1800.7494400000003</v>
      </c>
      <c r="I7" s="198">
        <v>67.209530000000001</v>
      </c>
      <c r="J7" s="198">
        <v>101.73014000000001</v>
      </c>
      <c r="K7" s="198">
        <v>174.09969000000001</v>
      </c>
      <c r="L7" s="198">
        <v>35.626519999999999</v>
      </c>
      <c r="M7" s="198">
        <v>159.09926999999999</v>
      </c>
      <c r="N7" s="198">
        <v>367.0852900000001</v>
      </c>
      <c r="O7" s="198">
        <v>218.57359999999997</v>
      </c>
      <c r="P7" s="198">
        <v>6082.0380200000009</v>
      </c>
    </row>
    <row r="8" spans="2:18" ht="15" customHeight="1">
      <c r="B8" s="195"/>
      <c r="C8" s="109" t="str">
        <f>+IF(Índice!$D$2=1,"Segurança social","Social security")</f>
        <v>Segurança social</v>
      </c>
      <c r="D8" s="197">
        <v>0</v>
      </c>
      <c r="E8" s="198">
        <v>313.08094</v>
      </c>
      <c r="F8" s="198">
        <v>51025.394959999976</v>
      </c>
      <c r="G8" s="198">
        <v>1050.6957299999999</v>
      </c>
      <c r="H8" s="198">
        <v>4626.6189800000011</v>
      </c>
      <c r="I8" s="198">
        <v>845.96715000000006</v>
      </c>
      <c r="J8" s="198">
        <v>1896.7625100000005</v>
      </c>
      <c r="K8" s="198">
        <v>825.86239</v>
      </c>
      <c r="L8" s="198">
        <v>862.83075999999994</v>
      </c>
      <c r="M8" s="198">
        <v>873.24875000000009</v>
      </c>
      <c r="N8" s="198">
        <v>2780.8215499999997</v>
      </c>
      <c r="O8" s="198">
        <v>2425.4368199999994</v>
      </c>
      <c r="P8" s="198">
        <v>67526.720539999966</v>
      </c>
    </row>
    <row r="9" spans="2:18" ht="24.95" customHeight="1">
      <c r="B9" s="195"/>
      <c r="C9" s="104" t="str">
        <f>IF(Índice!$D$2=1,"Aquisição de bens e serviços","Purchase of goods and services")</f>
        <v>Aquisição de bens e serviços</v>
      </c>
      <c r="D9" s="196">
        <v>0</v>
      </c>
      <c r="E9" s="196">
        <v>811.20029999999997</v>
      </c>
      <c r="F9" s="196">
        <v>20799.186959999995</v>
      </c>
      <c r="G9" s="196">
        <v>1526.1736500000002</v>
      </c>
      <c r="H9" s="196">
        <v>31450.075479999981</v>
      </c>
      <c r="I9" s="196">
        <v>819.68605000000002</v>
      </c>
      <c r="J9" s="196">
        <v>7062.6574900000014</v>
      </c>
      <c r="K9" s="196">
        <v>541.11816999999996</v>
      </c>
      <c r="L9" s="196">
        <v>1036.54403</v>
      </c>
      <c r="M9" s="196">
        <v>1101.6120799999994</v>
      </c>
      <c r="N9" s="196">
        <v>3336.0614499999992</v>
      </c>
      <c r="O9" s="196">
        <v>83513.671669999996</v>
      </c>
      <c r="P9" s="196">
        <v>151997.98732999997</v>
      </c>
    </row>
    <row r="10" spans="2:18" ht="15" customHeight="1">
      <c r="B10" s="195"/>
      <c r="C10" s="199" t="str">
        <f>IF(Índice!$D$2=1,"Aquisição de bens","Purchase of goods")</f>
        <v>Aquisição de bens</v>
      </c>
      <c r="D10" s="197">
        <v>0</v>
      </c>
      <c r="E10" s="198">
        <v>120.37586999999999</v>
      </c>
      <c r="F10" s="198">
        <v>13873.486960000002</v>
      </c>
      <c r="G10" s="198">
        <v>147.47501000000003</v>
      </c>
      <c r="H10" s="198">
        <v>559.0250000000002</v>
      </c>
      <c r="I10" s="198">
        <v>143.04499000000007</v>
      </c>
      <c r="J10" s="198">
        <v>1611.4960600000004</v>
      </c>
      <c r="K10" s="198">
        <v>7.2429900000000007</v>
      </c>
      <c r="L10" s="198">
        <v>41.449539999999999</v>
      </c>
      <c r="M10" s="198">
        <v>108.05737000000001</v>
      </c>
      <c r="N10" s="198">
        <v>610.19276000000025</v>
      </c>
      <c r="O10" s="198">
        <v>1392.19867</v>
      </c>
      <c r="P10" s="198">
        <v>18614.045220000004</v>
      </c>
    </row>
    <row r="11" spans="2:18" ht="15" customHeight="1">
      <c r="B11" s="195"/>
      <c r="C11" s="199" t="str">
        <f>IF(Índice!$D$2=1,"Aquisição de serviços","Purchase of services")</f>
        <v>Aquisição de serviços</v>
      </c>
      <c r="D11" s="197">
        <v>0</v>
      </c>
      <c r="E11" s="198">
        <v>690.82443000000001</v>
      </c>
      <c r="F11" s="198">
        <v>6925.6999999999944</v>
      </c>
      <c r="G11" s="198">
        <v>1378.6986400000001</v>
      </c>
      <c r="H11" s="198">
        <v>30891.05047999998</v>
      </c>
      <c r="I11" s="198">
        <v>676.64105999999992</v>
      </c>
      <c r="J11" s="198">
        <v>5451.161430000001</v>
      </c>
      <c r="K11" s="198">
        <v>533.87518</v>
      </c>
      <c r="L11" s="198">
        <v>995.09449000000006</v>
      </c>
      <c r="M11" s="198">
        <v>993.55470999999943</v>
      </c>
      <c r="N11" s="198">
        <v>2725.8686899999989</v>
      </c>
      <c r="O11" s="198">
        <v>82121.472999999998</v>
      </c>
      <c r="P11" s="198">
        <v>133383.94210999997</v>
      </c>
    </row>
    <row r="12" spans="2:18" ht="15" customHeight="1">
      <c r="B12" s="195"/>
      <c r="C12" s="104" t="str">
        <f>+IF(Índice!$D$2=1,"Juros e outros encargos","Interests and other charges")</f>
        <v>Juros e outros encargos</v>
      </c>
      <c r="D12" s="198">
        <v>0</v>
      </c>
      <c r="E12" s="198">
        <v>0</v>
      </c>
      <c r="F12" s="198">
        <v>13.43294</v>
      </c>
      <c r="G12" s="198">
        <v>1.5E-3</v>
      </c>
      <c r="H12" s="198">
        <v>100450.26230999999</v>
      </c>
      <c r="I12" s="198">
        <v>2.1399999999999999E-2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39.403669999999998</v>
      </c>
      <c r="P12" s="198">
        <v>100503.12181999999</v>
      </c>
    </row>
    <row r="13" spans="2:18" ht="15" customHeight="1">
      <c r="B13" s="195"/>
      <c r="C13" s="104" t="str">
        <f>+IF(Índice!$D$2=1,"Transferências correntes","Current transfers")</f>
        <v>Transferências correntes</v>
      </c>
      <c r="D13" s="196">
        <v>13150</v>
      </c>
      <c r="E13" s="196">
        <v>69.516500000000008</v>
      </c>
      <c r="F13" s="196">
        <v>64962.365780000007</v>
      </c>
      <c r="G13" s="196">
        <v>12597.006159999999</v>
      </c>
      <c r="H13" s="196">
        <v>6038.0298199999988</v>
      </c>
      <c r="I13" s="196">
        <v>342491.20510000002</v>
      </c>
      <c r="J13" s="196">
        <v>9410.1175399999993</v>
      </c>
      <c r="K13" s="196">
        <v>15001.212009999999</v>
      </c>
      <c r="L13" s="196">
        <v>7704.6505200000001</v>
      </c>
      <c r="M13" s="196">
        <v>82.850169999999991</v>
      </c>
      <c r="N13" s="196">
        <v>6302.8815500000001</v>
      </c>
      <c r="O13" s="196">
        <v>6290.3433699999996</v>
      </c>
      <c r="P13" s="196">
        <v>484100.17852000007</v>
      </c>
    </row>
    <row r="14" spans="2:18" ht="15" customHeight="1">
      <c r="B14" s="195"/>
      <c r="C14" s="109" t="str">
        <f>IF(Índice!$D$2=1,"Administração Pública","Public Administration")</f>
        <v>Administração Pública</v>
      </c>
      <c r="D14" s="200">
        <v>13150</v>
      </c>
      <c r="E14" s="200">
        <v>0</v>
      </c>
      <c r="F14" s="200">
        <v>16851.859649999999</v>
      </c>
      <c r="G14" s="200">
        <v>11651.38639</v>
      </c>
      <c r="H14" s="200">
        <v>5857.6283899999989</v>
      </c>
      <c r="I14" s="200">
        <v>339536.94941</v>
      </c>
      <c r="J14" s="200">
        <v>0</v>
      </c>
      <c r="K14" s="200">
        <v>4996.7455899999995</v>
      </c>
      <c r="L14" s="200">
        <v>7701.0277699999997</v>
      </c>
      <c r="M14" s="200">
        <v>0</v>
      </c>
      <c r="N14" s="200">
        <v>4652.9483099999998</v>
      </c>
      <c r="O14" s="200">
        <v>6264.54061</v>
      </c>
      <c r="P14" s="200">
        <v>410663.08611999999</v>
      </c>
    </row>
    <row r="15" spans="2:18" ht="15" customHeight="1">
      <c r="B15" s="195"/>
      <c r="C15" s="201" t="str">
        <f>IF(Índice!$D$2=1,"Administração Central","Central Administration")</f>
        <v>Administração Central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230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230</v>
      </c>
    </row>
    <row r="16" spans="2:18" ht="15" customHeight="1">
      <c r="B16" s="195"/>
      <c r="C16" s="201" t="str">
        <f>IF(Índice!$D$2=1,"Administração Regional","Regional Administration")</f>
        <v>Administração Regional</v>
      </c>
      <c r="D16" s="198">
        <v>13150</v>
      </c>
      <c r="E16" s="198">
        <v>0</v>
      </c>
      <c r="F16" s="198">
        <v>16851.859649999999</v>
      </c>
      <c r="G16" s="198">
        <v>11651.38639</v>
      </c>
      <c r="H16" s="198">
        <v>5857.6283899999989</v>
      </c>
      <c r="I16" s="198">
        <v>339306.94941</v>
      </c>
      <c r="J16" s="198">
        <v>0</v>
      </c>
      <c r="K16" s="198">
        <v>4996.7455899999995</v>
      </c>
      <c r="L16" s="198">
        <v>7701.0277699999997</v>
      </c>
      <c r="M16" s="198">
        <v>0</v>
      </c>
      <c r="N16" s="198">
        <v>4652.9483099999998</v>
      </c>
      <c r="O16" s="198">
        <v>6264.54061</v>
      </c>
      <c r="P16" s="198">
        <v>410433.08611999999</v>
      </c>
    </row>
    <row r="17" spans="2:16" ht="15" customHeight="1">
      <c r="B17" s="195"/>
      <c r="C17" s="201" t="str">
        <f>IF(Índice!$D$2=1,"Administração Local","Local Administration")</f>
        <v>Administração Local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Segurança social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Outras transferências correntes</v>
      </c>
      <c r="D19" s="200">
        <v>0</v>
      </c>
      <c r="E19" s="200">
        <v>69.516500000000008</v>
      </c>
      <c r="F19" s="200">
        <v>48110.506130000009</v>
      </c>
      <c r="G19" s="200">
        <v>945.6197699999999</v>
      </c>
      <c r="H19" s="200">
        <v>180.40142999999998</v>
      </c>
      <c r="I19" s="200">
        <v>2954.2556900000004</v>
      </c>
      <c r="J19" s="200">
        <v>9410.1175399999993</v>
      </c>
      <c r="K19" s="200">
        <v>10004.466420000001</v>
      </c>
      <c r="L19" s="200">
        <v>3.6227499999999999</v>
      </c>
      <c r="M19" s="200">
        <v>82.850169999999991</v>
      </c>
      <c r="N19" s="200">
        <v>1649.9332400000001</v>
      </c>
      <c r="O19" s="200">
        <v>25.802759999999999</v>
      </c>
      <c r="P19" s="200">
        <v>73437.092400000009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16061.537329999994</v>
      </c>
      <c r="G20" s="198">
        <v>293.7</v>
      </c>
      <c r="H20" s="198">
        <v>0</v>
      </c>
      <c r="I20" s="198">
        <v>0</v>
      </c>
      <c r="J20" s="198">
        <v>17.75</v>
      </c>
      <c r="K20" s="198">
        <v>0</v>
      </c>
      <c r="L20" s="198">
        <v>0</v>
      </c>
      <c r="M20" s="198">
        <v>0</v>
      </c>
      <c r="N20" s="198">
        <v>499.03160000000003</v>
      </c>
      <c r="O20" s="198">
        <v>1.234</v>
      </c>
      <c r="P20" s="198">
        <v>16873.252929999995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24.5</v>
      </c>
      <c r="F22" s="198">
        <v>25542.038110000016</v>
      </c>
      <c r="G22" s="198">
        <v>631.70718999999997</v>
      </c>
      <c r="H22" s="198">
        <v>50.619959999999999</v>
      </c>
      <c r="I22" s="198">
        <v>2921.8847400000004</v>
      </c>
      <c r="J22" s="198">
        <v>9154.1061299999983</v>
      </c>
      <c r="K22" s="198">
        <v>8428.1835600000013</v>
      </c>
      <c r="L22" s="198">
        <v>0</v>
      </c>
      <c r="M22" s="198">
        <v>60</v>
      </c>
      <c r="N22" s="198">
        <v>1045.9563900000001</v>
      </c>
      <c r="O22" s="198">
        <v>0</v>
      </c>
      <c r="P22" s="198">
        <v>47858.996080000019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6506.9306900000001</v>
      </c>
      <c r="G23" s="198">
        <v>20.212579999999999</v>
      </c>
      <c r="H23" s="198">
        <v>110.72446999999998</v>
      </c>
      <c r="I23" s="198">
        <v>32.370950000000001</v>
      </c>
      <c r="J23" s="198">
        <v>213.19640999999999</v>
      </c>
      <c r="K23" s="198">
        <v>1576.28286</v>
      </c>
      <c r="L23" s="198">
        <v>3.6227499999999999</v>
      </c>
      <c r="M23" s="198">
        <v>22.850169999999999</v>
      </c>
      <c r="N23" s="198">
        <v>104.94525</v>
      </c>
      <c r="O23" s="198">
        <v>24.568759999999997</v>
      </c>
      <c r="P23" s="198">
        <v>8615.7048900000009</v>
      </c>
    </row>
    <row r="24" spans="2:16" hidden="1">
      <c r="B24" s="195"/>
      <c r="C24" s="187">
        <v>0</v>
      </c>
      <c r="D24" s="198">
        <v>0</v>
      </c>
      <c r="E24" s="198">
        <v>45.016500000000001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89.138499999999993</v>
      </c>
    </row>
    <row r="25" spans="2:16" ht="15" customHeight="1">
      <c r="B25" s="195"/>
      <c r="C25" s="104" t="str">
        <f>+IF(Índice!$D$2=1,"Subsídios","Subsidies")</f>
        <v>Subsídios</v>
      </c>
      <c r="D25" s="198">
        <v>0</v>
      </c>
      <c r="E25" s="198">
        <v>0</v>
      </c>
      <c r="F25" s="198">
        <v>0</v>
      </c>
      <c r="G25" s="198">
        <v>16873.34966</v>
      </c>
      <c r="H25" s="198">
        <v>0</v>
      </c>
      <c r="I25" s="198">
        <v>0</v>
      </c>
      <c r="J25" s="198">
        <v>0</v>
      </c>
      <c r="K25" s="198">
        <v>0</v>
      </c>
      <c r="L25" s="198">
        <v>2493.92</v>
      </c>
      <c r="M25" s="198">
        <v>100.96817000000001</v>
      </c>
      <c r="N25" s="198">
        <v>4.8155100000000006</v>
      </c>
      <c r="O25" s="198">
        <v>0</v>
      </c>
      <c r="P25" s="198">
        <v>19473.053339999999</v>
      </c>
    </row>
    <row r="26" spans="2:16" ht="15" customHeight="1">
      <c r="B26" s="195"/>
      <c r="C26" s="104" t="str">
        <f>+IF(Índice!$D$2=1,"Outras despesas correntes","Other current expenditures")</f>
        <v>Outras despesas correntes</v>
      </c>
      <c r="D26" s="198">
        <v>0</v>
      </c>
      <c r="E26" s="198">
        <v>0</v>
      </c>
      <c r="F26" s="198">
        <v>36.084139999999998</v>
      </c>
      <c r="G26" s="198">
        <v>1.7412399999999999</v>
      </c>
      <c r="H26" s="198">
        <v>628.34825000000001</v>
      </c>
      <c r="I26" s="198">
        <v>3.47668</v>
      </c>
      <c r="J26" s="198">
        <v>10.63635</v>
      </c>
      <c r="K26" s="198">
        <v>0</v>
      </c>
      <c r="L26" s="198">
        <v>17.024379999999997</v>
      </c>
      <c r="M26" s="198">
        <v>41.452400000000004</v>
      </c>
      <c r="N26" s="198">
        <v>18.277560000000001</v>
      </c>
      <c r="O26" s="198">
        <v>76.953630000000004</v>
      </c>
      <c r="P26" s="198">
        <v>833.99462999999992</v>
      </c>
    </row>
    <row r="27" spans="2:16" ht="24.95" customHeight="1">
      <c r="B27" s="195"/>
      <c r="C27" s="202" t="str">
        <f>+IF(Índice!$D$2=1,"Despesa de capital","Capital expenditure")</f>
        <v>Despesa de capital</v>
      </c>
      <c r="D27" s="32">
        <v>70</v>
      </c>
      <c r="E27" s="32">
        <v>6.3198299999999996</v>
      </c>
      <c r="F27" s="32">
        <v>6375.0431099999987</v>
      </c>
      <c r="G27" s="32">
        <v>15338.416349999996</v>
      </c>
      <c r="H27" s="32">
        <v>9961.8097799999996</v>
      </c>
      <c r="I27" s="32">
        <v>819.86759000000006</v>
      </c>
      <c r="J27" s="32">
        <v>4014.7678900000001</v>
      </c>
      <c r="K27" s="32">
        <v>1298.2652200000002</v>
      </c>
      <c r="L27" s="32">
        <v>2321.0882999999999</v>
      </c>
      <c r="M27" s="32">
        <v>612.54174999999998</v>
      </c>
      <c r="N27" s="32">
        <v>5907.4454599999999</v>
      </c>
      <c r="O27" s="32">
        <v>81740.295220000029</v>
      </c>
      <c r="P27" s="32">
        <v>128465.86050000004</v>
      </c>
    </row>
    <row r="28" spans="2:16" ht="15" customHeight="1">
      <c r="B28" s="195"/>
      <c r="C28" s="104" t="str">
        <f>+IF(Índice!$D$2=1,"Investimento","Investment")</f>
        <v>Investimento</v>
      </c>
      <c r="D28" s="198">
        <v>0</v>
      </c>
      <c r="E28" s="198">
        <v>6.3198299999999996</v>
      </c>
      <c r="F28" s="198">
        <v>2126.8656099999994</v>
      </c>
      <c r="G28" s="198">
        <v>34.998580000000004</v>
      </c>
      <c r="H28" s="198">
        <v>7699.1260999999995</v>
      </c>
      <c r="I28" s="198">
        <v>12.472020000000001</v>
      </c>
      <c r="J28" s="198">
        <v>3746.0291400000001</v>
      </c>
      <c r="K28" s="198">
        <v>6.3284899999999995</v>
      </c>
      <c r="L28" s="198">
        <v>922.34948999999983</v>
      </c>
      <c r="M28" s="198">
        <v>115.642</v>
      </c>
      <c r="N28" s="198">
        <v>419.80835000000002</v>
      </c>
      <c r="O28" s="198">
        <v>72419.948270000037</v>
      </c>
      <c r="P28" s="198">
        <v>87509.887880000038</v>
      </c>
    </row>
    <row r="29" spans="2:16" ht="15" customHeight="1">
      <c r="C29" s="104" t="str">
        <f>+IF(Índice!$D$2=1,"Transferências capital","Capital transfers")</f>
        <v>Transferências capital</v>
      </c>
      <c r="D29" s="196">
        <v>70</v>
      </c>
      <c r="E29" s="196">
        <v>0</v>
      </c>
      <c r="F29" s="196">
        <v>4248.1774999999998</v>
      </c>
      <c r="G29" s="196">
        <v>15303.417769999996</v>
      </c>
      <c r="H29" s="196">
        <v>2262.6836800000001</v>
      </c>
      <c r="I29" s="196">
        <v>807.39557000000002</v>
      </c>
      <c r="J29" s="196">
        <v>268.73874999999998</v>
      </c>
      <c r="K29" s="196">
        <v>1291.9367300000001</v>
      </c>
      <c r="L29" s="196">
        <v>1398.7388100000001</v>
      </c>
      <c r="M29" s="196">
        <v>496.89974999999998</v>
      </c>
      <c r="N29" s="196">
        <v>5487.6371099999997</v>
      </c>
      <c r="O29" s="196">
        <v>9320.3469499999992</v>
      </c>
      <c r="P29" s="196">
        <v>40955.97262</v>
      </c>
    </row>
    <row r="30" spans="2:16" ht="15" customHeight="1">
      <c r="C30" s="109" t="str">
        <f>IF(Índice!$D$2=1,"Administração Pública","Public Administration")</f>
        <v>Administração Pública</v>
      </c>
      <c r="D30" s="200">
        <v>70</v>
      </c>
      <c r="E30" s="200">
        <v>0</v>
      </c>
      <c r="F30" s="200">
        <v>2567.2084599999998</v>
      </c>
      <c r="G30" s="200">
        <v>15303.417769999996</v>
      </c>
      <c r="H30" s="200">
        <v>2237.7065000000002</v>
      </c>
      <c r="I30" s="200">
        <v>705.54957000000002</v>
      </c>
      <c r="J30" s="200">
        <v>0</v>
      </c>
      <c r="K30" s="200">
        <v>1.5833900000000001</v>
      </c>
      <c r="L30" s="200">
        <v>63.426269999999995</v>
      </c>
      <c r="M30" s="200">
        <v>496.89974999999998</v>
      </c>
      <c r="N30" s="200">
        <v>5487.6371099999997</v>
      </c>
      <c r="O30" s="200">
        <v>7986.6724299999987</v>
      </c>
      <c r="P30" s="200">
        <v>34920.101249999992</v>
      </c>
    </row>
    <row r="31" spans="2:16" ht="15" customHeight="1">
      <c r="C31" s="201" t="str">
        <f>IF(Índice!$D$2=1,"Administração Central","Central Administration")</f>
        <v>Administração Central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496.89974999999998</v>
      </c>
      <c r="N31" s="198">
        <v>5369.0713900000001</v>
      </c>
      <c r="O31" s="198">
        <v>0</v>
      </c>
      <c r="P31" s="198">
        <v>5865.9711399999997</v>
      </c>
    </row>
    <row r="32" spans="2:16" ht="15" customHeight="1">
      <c r="C32" s="201" t="str">
        <f>IF(Índice!$D$2=1,"Administração Regional","Regional Administration")</f>
        <v>Administração Regional</v>
      </c>
      <c r="D32" s="198">
        <v>70</v>
      </c>
      <c r="E32" s="198">
        <v>0</v>
      </c>
      <c r="F32" s="198">
        <v>2567.2084599999998</v>
      </c>
      <c r="G32" s="198">
        <v>15303.417769999996</v>
      </c>
      <c r="H32" s="198">
        <v>1414.7597000000001</v>
      </c>
      <c r="I32" s="198">
        <v>705.54957000000002</v>
      </c>
      <c r="J32" s="198">
        <v>0</v>
      </c>
      <c r="K32" s="198">
        <v>1.5833900000000001</v>
      </c>
      <c r="L32" s="198">
        <v>63.426269999999995</v>
      </c>
      <c r="M32" s="198">
        <v>0</v>
      </c>
      <c r="N32" s="198">
        <v>118.56572000000001</v>
      </c>
      <c r="O32" s="198">
        <v>7986.6724299999987</v>
      </c>
      <c r="P32" s="198">
        <v>28231.183309999989</v>
      </c>
    </row>
    <row r="33" spans="1:171" ht="15" customHeight="1">
      <c r="C33" s="201" t="str">
        <f>IF(Índice!$D$2=1,"Administração Local","Local Administration")</f>
        <v>Administração Local</v>
      </c>
      <c r="D33" s="198">
        <v>0</v>
      </c>
      <c r="E33" s="198">
        <v>0</v>
      </c>
      <c r="F33" s="198">
        <v>0</v>
      </c>
      <c r="G33" s="198">
        <v>0</v>
      </c>
      <c r="H33" s="198">
        <v>822.94679999999994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822.94679999999994</v>
      </c>
    </row>
    <row r="34" spans="1:171" ht="15" customHeight="1">
      <c r="C34" s="201" t="str">
        <f>+IF(Índice!$D$2=1,"Segurança social","Social security")</f>
        <v>Segurança social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Outras transferências de capital</v>
      </c>
      <c r="D35" s="200">
        <v>0</v>
      </c>
      <c r="E35" s="200">
        <v>0</v>
      </c>
      <c r="F35" s="200">
        <v>1680.9690399999999</v>
      </c>
      <c r="G35" s="200">
        <v>0</v>
      </c>
      <c r="H35" s="200">
        <v>24.977180000000001</v>
      </c>
      <c r="I35" s="200">
        <v>101.846</v>
      </c>
      <c r="J35" s="200">
        <v>268.73874999999998</v>
      </c>
      <c r="K35" s="200">
        <v>1290.3533400000001</v>
      </c>
      <c r="L35" s="200">
        <v>1335.3125400000001</v>
      </c>
      <c r="M35" s="200">
        <v>0</v>
      </c>
      <c r="N35" s="200">
        <v>0</v>
      </c>
      <c r="O35" s="200">
        <v>1333.67452</v>
      </c>
      <c r="P35" s="200">
        <v>6035.8713700000008</v>
      </c>
    </row>
    <row r="36" spans="1:171" ht="15" customHeight="1">
      <c r="C36" s="132" t="s">
        <v>10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Despesa efetiva</v>
      </c>
      <c r="D38" s="204">
        <v>13220</v>
      </c>
      <c r="E38" s="204">
        <v>2492.8376600000001</v>
      </c>
      <c r="F38" s="204">
        <v>400041.06597000011</v>
      </c>
      <c r="G38" s="204">
        <v>52684.963139999993</v>
      </c>
      <c r="H38" s="204">
        <v>176619.73916</v>
      </c>
      <c r="I38" s="204">
        <v>349043.88889</v>
      </c>
      <c r="J38" s="204">
        <v>31994.703529999999</v>
      </c>
      <c r="K38" s="204">
        <v>21995.918539999999</v>
      </c>
      <c r="L38" s="204">
        <v>18907.301329999995</v>
      </c>
      <c r="M38" s="204">
        <v>7266.6198099999983</v>
      </c>
      <c r="N38" s="204">
        <v>32108.966019999993</v>
      </c>
      <c r="O38" s="204">
        <v>186386.14505000005</v>
      </c>
      <c r="P38" s="204">
        <v>1292762.1491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Por memória: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Ativos financeiros</v>
      </c>
      <c r="D40" s="208">
        <v>0</v>
      </c>
      <c r="E40" s="208">
        <v>0</v>
      </c>
      <c r="F40" s="208">
        <v>0</v>
      </c>
      <c r="G40" s="208">
        <v>9479.7910800000009</v>
      </c>
      <c r="H40" s="208">
        <v>3649.8625499999998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11241.490379999999</v>
      </c>
      <c r="P40" s="208">
        <v>24512.51801</v>
      </c>
    </row>
    <row r="41" spans="1:171">
      <c r="C41" s="209" t="str">
        <f>+IF(Índice!$D$2=1,"Passivos financeiros","Financial liabilities")</f>
        <v>Passivos financeiros</v>
      </c>
      <c r="D41" s="200">
        <v>0</v>
      </c>
      <c r="E41" s="200">
        <v>0</v>
      </c>
      <c r="F41" s="200">
        <v>0</v>
      </c>
      <c r="G41" s="200">
        <v>0</v>
      </c>
      <c r="H41" s="200">
        <v>214606.04019999996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214606.04019999996</v>
      </c>
    </row>
    <row r="42" spans="1:171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Operações extraorçamentais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194447.95496999996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9/2021/M, de 27 de agosto","Note: Organic structure approved by Regional Legislative Decree nr. 18/2020/M of january 31st, in force under Article 19th of Regional Regulatory Decree nr. 9/2021/M of august 27th")</f>
        <v>Nota: Estrutura orgânica aprovada pelo Decreto Legislativo Regional n.º 18/2020/M, de 31 de janeiro, em vigor ao abrigo do n.º 1 do artigo 19.º do Decreto Regulamentar Regional n.º 9/2021/M, de 27 de agosto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6" t="str">
        <f>+IF(Índice!$D$2=1,"Fonte: Secretaria Regional das Finanças","Source: Regional Finance Secretariat")</f>
        <v>Fonte: Secretaria Regional das Finanças</v>
      </c>
      <c r="D47" s="336" t="str">
        <f>+IF(Índice!$D$2="PT","Fonte: Vice-Presidência do Governo Regional","Source: Vice-Presidency of the Regional Government")</f>
        <v>Source: Vice-Presidency of the Regional Government</v>
      </c>
      <c r="E47" s="336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19" sqref="K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(janeiro-novembro)","TABLE IX - RPEs global balance (january-november)")</f>
        <v>QUADRO IX - Saldo Global do Subsetor - EPR (janeiro-novembro)</v>
      </c>
      <c r="D2" s="100"/>
      <c r="E2" s="52" t="str">
        <f>+IF(Índice!$D$2=1,"€ Milhares","€ Thousands")</f>
        <v>€ Milhares</v>
      </c>
      <c r="G2" s="178" t="str">
        <f>+IF(Índice!$D$2=1,"índice","Index")</f>
        <v>índice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Entidades Públicas Reclassificadas</v>
      </c>
      <c r="D5" s="82">
        <v>-2093.7207100002561</v>
      </c>
      <c r="E5" s="82">
        <v>-3684.2919299998321</v>
      </c>
    </row>
    <row r="6" spans="2:7">
      <c r="B6" s="29"/>
      <c r="C6" s="103"/>
      <c r="D6" s="103"/>
      <c r="E6" s="103"/>
    </row>
    <row r="7" spans="2:7">
      <c r="B7" s="29"/>
      <c r="C7" s="336" t="str">
        <f>+IF(Índice!$D$2=1,"Fonte: Secretaria Regional das Finanças","Source: Regional Finance Secretariat")</f>
        <v>Fonte: Secretaria Regional das Finanças</v>
      </c>
      <c r="D7" s="336" t="str">
        <f>+IF(Índice!$D$2="PT","Fonte: Vice-Presidência do Governo Regional","Source: Vice-Presidency of the Regional Government")</f>
        <v>Source: Vice-Presidency of the Regional Government</v>
      </c>
      <c r="E7" s="336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7" t="str">
        <f>+IF(Índice!$D$2=1,"QUADRO X - Execução orçamental dos Serviços e Fundos Autónomos e EPR (janeiro-novembro)","TABLE X - ASFs and RPEs budget execution (january-november)")</f>
        <v>QUADRO X - Execução orçamental dos Serviços e Fundos Autónomos e EPR (janeiro-novembro)</v>
      </c>
      <c r="D2" s="338"/>
      <c r="E2" s="338"/>
      <c r="F2" s="52" t="str">
        <f>+IF(Índice!$D$2=1,"€ Milhares","€ Thousands")</f>
        <v>€ Milhares</v>
      </c>
      <c r="G2" s="97"/>
      <c r="H2" s="178" t="str">
        <f>+IF(Índice!$D$2=1,"índice","Index")</f>
        <v>índice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SFA</v>
      </c>
      <c r="E3" s="127" t="str">
        <f>+IF(Índice!$D$2=1,"EPR","RPE")</f>
        <v>EPR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Saldo global</v>
      </c>
      <c r="D4" s="98">
        <v>11945.579960000003</v>
      </c>
      <c r="E4" s="98">
        <v>-3684.2919299998321</v>
      </c>
      <c r="F4" s="98">
        <v>8261.2880300001707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Por memória: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Despesa primária</v>
      </c>
      <c r="D7" s="74">
        <v>469448.99952000001</v>
      </c>
      <c r="E7" s="74">
        <v>348383.96615999989</v>
      </c>
      <c r="F7" s="74">
        <v>817832.96567999991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Saldo primário</v>
      </c>
      <c r="D8" s="74">
        <v>12088.446840000002</v>
      </c>
      <c r="E8" s="74">
        <v>2476.342940000166</v>
      </c>
      <c r="F8" s="74">
        <v>14564.789780000168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Saldo corrente</v>
      </c>
      <c r="D9" s="74">
        <v>9992.823779999977</v>
      </c>
      <c r="E9" s="74">
        <v>-415.3259399998351</v>
      </c>
      <c r="F9" s="74">
        <v>9577.4978400000837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Saldo de capital</v>
      </c>
      <c r="D10" s="74">
        <v>1952.756179999993</v>
      </c>
      <c r="E10" s="74">
        <v>-3268.9659900000042</v>
      </c>
      <c r="F10" s="74">
        <v>-1316.2098100000148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6" t="str">
        <f>+IF(Índice!$D$2=1,"Fonte: Secretaria Regional das Finanças","Source: Regional Finance Secretariat")</f>
        <v>Fonte: Secretaria Regional das Finanças</v>
      </c>
      <c r="D12" s="336" t="str">
        <f>+IF(Índice!$D$2="PT","Fonte: Vice-Presidência do Governo Regional","Source: Vice-Presidency of the Regional Government")</f>
        <v>Source: Vice-Presidency of the Regional Government</v>
      </c>
      <c r="E12" s="336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(janeiro-novembro)","TABLE XI - ASFs and RPEs budget execution (january-november)")</f>
        <v>QUADRO XI - Execução orçamental dos Serviços e Fundos Autónomos e EPR (janeiro-novembro)</v>
      </c>
      <c r="D2" s="261"/>
      <c r="E2" s="261"/>
      <c r="F2" s="52" t="str">
        <f>+IF(Índice!$D$2=1,"€ Milhares","€ Thousands")</f>
        <v>€ Milhares</v>
      </c>
      <c r="H2" s="178" t="str">
        <f>+IF(Índice!$D$2=1,"índice","Index")</f>
        <v>índice</v>
      </c>
    </row>
    <row r="3" spans="2:8" ht="35.1" customHeight="1">
      <c r="C3" s="89"/>
      <c r="D3" s="262" t="str">
        <f>+IF(Índice!$D$2=1,"SFA","ASF")</f>
        <v>SFA</v>
      </c>
      <c r="E3" s="127" t="str">
        <f>+IF(Índice!$D$2=1,"EPR","RPE")</f>
        <v>EPR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Receita corrente</v>
      </c>
      <c r="D4" s="108">
        <v>456126.63900999998</v>
      </c>
      <c r="E4" s="108">
        <v>321072.12805000006</v>
      </c>
      <c r="F4" s="108">
        <v>777198.76705999998</v>
      </c>
    </row>
    <row r="5" spans="2:8" ht="11.25" customHeight="1">
      <c r="B5" s="29"/>
      <c r="C5" s="104" t="str">
        <f>+IF(Índice!$D$2=1,"Impostos diretos","Direct taxes")</f>
        <v>Impostos diretos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Impostos indiretos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Contribuições para Segurança Social, CGA e ADSE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Taxas, Multas e Outras Penalidades</v>
      </c>
      <c r="D8" s="74">
        <v>3765.1234799999993</v>
      </c>
      <c r="E8" s="74">
        <v>6991.6192399999991</v>
      </c>
      <c r="F8" s="74">
        <v>10756.742719999998</v>
      </c>
    </row>
    <row r="9" spans="2:8" ht="11.25" customHeight="1">
      <c r="B9" s="29"/>
      <c r="C9" s="104" t="str">
        <f>+IF(Índice!$D$2=1,"Transferências correntes","Current transfers")</f>
        <v>Transferências correntes</v>
      </c>
      <c r="D9" s="74">
        <v>447479.79442999995</v>
      </c>
      <c r="E9" s="74">
        <v>282349.12968000007</v>
      </c>
      <c r="F9" s="74">
        <v>729828.92411000002</v>
      </c>
    </row>
    <row r="10" spans="2:8" ht="11.25" customHeight="1">
      <c r="B10" s="29"/>
      <c r="C10" s="109" t="str">
        <f>+IF(Índice!$D$2=1,"União Europeia","European Union")</f>
        <v>União Europeia</v>
      </c>
      <c r="D10" s="74">
        <v>36762.551189999998</v>
      </c>
      <c r="E10" s="74">
        <v>2660.6675900000005</v>
      </c>
      <c r="F10" s="74">
        <v>39423.218779999996</v>
      </c>
    </row>
    <row r="11" spans="2:8" ht="11.25" customHeight="1">
      <c r="B11" s="29"/>
      <c r="C11" s="109" t="str">
        <f>+IF(Índice!$D$2=1,"Outras transferências correntes","Other current transfers")</f>
        <v>Outras transferências correntes</v>
      </c>
      <c r="D11" s="74">
        <v>409575.54839999997</v>
      </c>
      <c r="E11" s="74">
        <v>278590.27276000002</v>
      </c>
      <c r="F11" s="74">
        <v>688165.82116000005</v>
      </c>
    </row>
    <row r="12" spans="2:8" ht="11.25" customHeight="1">
      <c r="B12" s="29"/>
      <c r="C12" s="104" t="str">
        <f>+IF(Índice!$D$2=1,"Venda de Bens e Serviços Correntes","Sale of current goods and services")</f>
        <v>Venda de Bens e Serviços Correntes</v>
      </c>
      <c r="D12" s="74">
        <v>3796.4196499999994</v>
      </c>
      <c r="E12" s="74">
        <v>13684.646069999999</v>
      </c>
      <c r="F12" s="74">
        <v>17481.065719999999</v>
      </c>
    </row>
    <row r="13" spans="2:8" ht="11.25" customHeight="1">
      <c r="B13" s="29"/>
      <c r="C13" s="104" t="str">
        <f>+IF(Índice!$D$2=1,"Outras receitas correntes","Other current revenues")</f>
        <v>Outras receitas correntes</v>
      </c>
      <c r="D13" s="74">
        <v>1085.3014500000002</v>
      </c>
      <c r="E13" s="74">
        <v>18046.733060000002</v>
      </c>
      <c r="F13" s="74">
        <v>19132.034510000001</v>
      </c>
    </row>
    <row r="14" spans="2:8" ht="11.25" customHeight="1">
      <c r="B14" s="29"/>
      <c r="C14" s="110" t="str">
        <f>+IF(Índice!$D$2=1,"Receita de capital","Capital revenue")</f>
        <v>Receita de capital</v>
      </c>
      <c r="D14" s="83">
        <v>25410.807349999999</v>
      </c>
      <c r="E14" s="83">
        <v>29788.181049999992</v>
      </c>
      <c r="F14" s="83">
        <v>55198.988399999987</v>
      </c>
    </row>
    <row r="15" spans="2:8" ht="11.25" customHeight="1">
      <c r="B15" s="29"/>
      <c r="C15" s="104" t="str">
        <f>+IF(Índice!$D$2=1,"Venda de bens de investimento","Sale of investment goods")</f>
        <v>Venda de bens de investimento</v>
      </c>
      <c r="D15" s="34">
        <v>0</v>
      </c>
      <c r="E15" s="34">
        <v>525.92697999999996</v>
      </c>
      <c r="F15" s="34">
        <v>525.92697999999996</v>
      </c>
    </row>
    <row r="16" spans="2:8" ht="11.25" customHeight="1">
      <c r="B16" s="29"/>
      <c r="C16" s="104" t="str">
        <f>+IF(Índice!$D$2=1,"Transferências capital","Capital transfers")</f>
        <v>Transferências capital</v>
      </c>
      <c r="D16" s="34">
        <v>25294.997939999997</v>
      </c>
      <c r="E16" s="34">
        <v>29219.233679999994</v>
      </c>
      <c r="F16" s="74">
        <v>54514.231619999991</v>
      </c>
    </row>
    <row r="17" spans="2:6" ht="11.25" customHeight="1">
      <c r="B17" s="29"/>
      <c r="C17" s="109" t="str">
        <f>+IF(Índice!$D$2=1,"União Europeia","European Union")</f>
        <v>União Europeia</v>
      </c>
      <c r="D17" s="34">
        <v>11077.804540000001</v>
      </c>
      <c r="E17" s="34">
        <v>14535.481479999995</v>
      </c>
      <c r="F17" s="74">
        <v>25613.286019999996</v>
      </c>
    </row>
    <row r="18" spans="2:6" ht="11.25" customHeight="1">
      <c r="B18" s="29"/>
      <c r="C18" s="109" t="str">
        <f>+IF(Índice!$D$2=1,"Outras transferências","Other capital transfers")</f>
        <v>Outras transferências</v>
      </c>
      <c r="D18" s="74">
        <v>14217.193399999996</v>
      </c>
      <c r="E18" s="74">
        <v>14683.752199999999</v>
      </c>
      <c r="F18" s="74">
        <v>28900.945599999995</v>
      </c>
    </row>
    <row r="19" spans="2:6" ht="11.25" customHeight="1">
      <c r="B19" s="29"/>
      <c r="C19" s="111" t="str">
        <f>+IF(Índice!$D$2=1,"Outras receitas de capital","Other capital revenues")</f>
        <v>Outras receitas de capital</v>
      </c>
      <c r="D19" s="74">
        <v>0</v>
      </c>
      <c r="E19" s="74">
        <v>19.065300000000001</v>
      </c>
      <c r="F19" s="74">
        <v>19.065300000000001</v>
      </c>
    </row>
    <row r="20" spans="2:6" ht="11.25" customHeight="1">
      <c r="C20" s="110" t="str">
        <f>+IF(Índice!$D$2=1,"Receita efetiva","Effective revenue")</f>
        <v>Receita efetiva</v>
      </c>
      <c r="D20" s="83">
        <v>481537.44636</v>
      </c>
      <c r="E20" s="83">
        <v>350860.30910000007</v>
      </c>
      <c r="F20" s="83">
        <v>832397.75546000013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Despesa corrente</v>
      </c>
      <c r="D22" s="83">
        <v>446133.81523000001</v>
      </c>
      <c r="E22" s="83">
        <v>321487.45398999989</v>
      </c>
      <c r="F22" s="83">
        <v>767621.2692199999</v>
      </c>
    </row>
    <row r="23" spans="2:6" ht="11.25" customHeight="1">
      <c r="C23" s="104" t="str">
        <f>+IF(Índice!$D$2=1,"Despesas com o pessoal","Compensation of employees")</f>
        <v>Despesas com o pessoal</v>
      </c>
      <c r="D23" s="74">
        <v>48061.204099999995</v>
      </c>
      <c r="E23" s="74">
        <v>235708.64019999982</v>
      </c>
      <c r="F23" s="74">
        <v>283769.84429999982</v>
      </c>
    </row>
    <row r="24" spans="2:6" ht="11.25" customHeight="1">
      <c r="C24" s="104" t="str">
        <f>+IF(Índice!$D$2=1,"Aquisição de bens e serviços","Purchase of goods and services")</f>
        <v>Aquisição de bens e serviços</v>
      </c>
      <c r="D24" s="74">
        <v>96880.378270000016</v>
      </c>
      <c r="E24" s="74">
        <v>65858.818320000093</v>
      </c>
      <c r="F24" s="74">
        <v>162739.19659000012</v>
      </c>
    </row>
    <row r="25" spans="2:6" ht="11.25" customHeight="1">
      <c r="C25" s="104" t="str">
        <f>+IF(Índice!$D$2=1,"Juros e outros encargos","Interests and other charges")</f>
        <v>Juros e outros encargos</v>
      </c>
      <c r="D25" s="74">
        <v>142.86688000000001</v>
      </c>
      <c r="E25" s="74">
        <v>6160.634869999998</v>
      </c>
      <c r="F25" s="74">
        <v>6303.5017499999976</v>
      </c>
    </row>
    <row r="26" spans="2:6" ht="11.25" customHeight="1">
      <c r="C26" s="104" t="str">
        <f>+IF(Índice!$D$2=1,"Transferências correntes","Current transfers")</f>
        <v>Transferências correntes</v>
      </c>
      <c r="D26" s="74">
        <v>295826.28819999995</v>
      </c>
      <c r="E26" s="74">
        <v>11881.282770000003</v>
      </c>
      <c r="F26" s="74">
        <v>307707.57096999994</v>
      </c>
    </row>
    <row r="27" spans="2:6" ht="11.25" customHeight="1">
      <c r="C27" s="109" t="str">
        <f>+IF(Índice!$D$2=1,"Outros subsetores das Administrações Públicas","Other PA sub-sectors")</f>
        <v>Outros subsetores das Administrações Públicas</v>
      </c>
      <c r="D27" s="74">
        <v>2111.5578100000002</v>
      </c>
      <c r="E27" s="74">
        <v>0</v>
      </c>
      <c r="F27" s="59">
        <v>2111.5578100000002</v>
      </c>
    </row>
    <row r="28" spans="2:6" ht="11.25" customHeight="1">
      <c r="C28" s="109" t="str">
        <f>+IF(Índice!$D$2=1,"Outras transferências correntes","Other current transfers")</f>
        <v>Outras transferências correntes</v>
      </c>
      <c r="D28" s="74">
        <v>293714.73038999992</v>
      </c>
      <c r="E28" s="74">
        <v>11881.282770000003</v>
      </c>
      <c r="F28" s="59">
        <v>305596.01315999991</v>
      </c>
    </row>
    <row r="29" spans="2:6" ht="11.25" customHeight="1">
      <c r="C29" s="104" t="str">
        <f>+IF(Índice!$D$2=1,"Subsídios","Subsidies")</f>
        <v>Subsídios</v>
      </c>
      <c r="D29" s="74">
        <v>5048.4606199999989</v>
      </c>
      <c r="E29" s="74">
        <v>0.80500000000000005</v>
      </c>
      <c r="F29" s="74">
        <v>5049.2656199999992</v>
      </c>
    </row>
    <row r="30" spans="2:6" ht="11.25" customHeight="1">
      <c r="C30" s="104" t="str">
        <f>+IF(Índice!$D$2=1,"Outras despesas correntes","Other current expenditures")</f>
        <v>Outras despesas correntes</v>
      </c>
      <c r="D30" s="74">
        <v>174.61716000000001</v>
      </c>
      <c r="E30" s="74">
        <v>1877.2728299999999</v>
      </c>
      <c r="F30" s="74">
        <v>2051.8899899999997</v>
      </c>
    </row>
    <row r="31" spans="2:6" ht="11.25" customHeight="1">
      <c r="C31" s="110" t="str">
        <f>+IF(Índice!$D$2=1,"Despesa de capital","Capital expenditure")</f>
        <v>Despesa de capital</v>
      </c>
      <c r="D31" s="83">
        <v>23458.051170000006</v>
      </c>
      <c r="E31" s="83">
        <v>33057.147039999996</v>
      </c>
      <c r="F31" s="83">
        <v>56515.198210000002</v>
      </c>
    </row>
    <row r="32" spans="2:6" ht="11.25" customHeight="1">
      <c r="C32" s="104" t="str">
        <f>+IF(Índice!$D$2=1,"Investimento","Investment")</f>
        <v>Investimento</v>
      </c>
      <c r="D32" s="74">
        <v>3980.8478800000007</v>
      </c>
      <c r="E32" s="74">
        <v>32734.460239999993</v>
      </c>
      <c r="F32" s="74">
        <v>36715.308119999994</v>
      </c>
    </row>
    <row r="33" spans="3:6" ht="11.25" customHeight="1">
      <c r="C33" s="104" t="str">
        <f>+IF(Índice!$D$2=1,"Transferências capital","Capital transfers")</f>
        <v>Transferências capital</v>
      </c>
      <c r="D33" s="74">
        <v>19468.947680000005</v>
      </c>
      <c r="E33" s="74">
        <v>322.68680000000001</v>
      </c>
      <c r="F33" s="74">
        <v>19791.634480000004</v>
      </c>
    </row>
    <row r="34" spans="3:6" ht="11.25" customHeight="1">
      <c r="C34" s="62" t="str">
        <f>+IF(Índice!$D$2=1,"Outras despesas de capital","Other capital expenditures")</f>
        <v>Outras despesas de capital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Despesa efetiva</v>
      </c>
      <c r="D36" s="83">
        <v>469591.8664</v>
      </c>
      <c r="E36" s="83">
        <v>354544.6010299999</v>
      </c>
      <c r="F36" s="83">
        <v>824136.46742999996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Ativos financeiros</v>
      </c>
      <c r="D38" s="35">
        <v>8231.8994899999998</v>
      </c>
      <c r="E38" s="35">
        <v>1096.5602099999999</v>
      </c>
      <c r="F38" s="35">
        <v>9328.4596999999994</v>
      </c>
    </row>
    <row r="39" spans="3:6" ht="11.25" customHeight="1">
      <c r="C39" s="55" t="str">
        <f>+IF(Índice!$D$2=1,"Passivos financeiros","Financial liabilities")</f>
        <v>Passivos financeiros</v>
      </c>
      <c r="D39" s="35">
        <v>0</v>
      </c>
      <c r="E39" s="35">
        <v>19985.258500000004</v>
      </c>
      <c r="F39" s="35">
        <v>19985.258500000004</v>
      </c>
    </row>
    <row r="40" spans="3:6" ht="11.25" customHeight="1">
      <c r="C40" s="55" t="str">
        <f>+IF(Índice!$D$2=1,"Outras despesas de capital","Other capital expenses")</f>
        <v>Outras despesas de capital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Saldo global</v>
      </c>
      <c r="D44" s="114">
        <v>11945.579960000003</v>
      </c>
      <c r="E44" s="114">
        <v>-3684.2919299998321</v>
      </c>
      <c r="F44" s="114">
        <v>8261.2880300001707</v>
      </c>
    </row>
    <row r="45" spans="3:6" ht="15" customHeight="1">
      <c r="C45" s="336" t="str">
        <f>+IF(Índice!$D$2=1,"Fonte: Secretaria Regional das Finanças","Source: Regional Finance Secretariat")</f>
        <v>Fonte: Secretaria Regional das Finanças</v>
      </c>
      <c r="D45" s="336" t="str">
        <f>+IF(Índice!$D$2="PT","Fonte: Vice-Presidência do Governo Regional","Source: Vice-Presidency of the Regional Government")</f>
        <v>Source: Vice-Presidency of the Regional Government</v>
      </c>
      <c r="E45" s="336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(novembro)","TABLE XII - ASFs and RPEs budget execution (november)")</f>
        <v>QUADRO XII - Execução orçamental dos Serviços e Fundos Autónomos e EPR (novembro)</v>
      </c>
      <c r="D2" s="306"/>
      <c r="E2" s="306"/>
      <c r="F2" s="307" t="str">
        <f>+IF(Índice!$D$2=1,"€ Milhares","€ Thousands")</f>
        <v>€ Milhares</v>
      </c>
      <c r="H2" s="291" t="str">
        <f>+IF(Índice!$D$2=1,"índice","Index")</f>
        <v>índice</v>
      </c>
    </row>
    <row r="3" spans="2:8" ht="12.75">
      <c r="B3"/>
      <c r="C3" s="308"/>
      <c r="D3" s="309" t="str">
        <f>+IF(Índice!$D$2=1,"novembro 2023","november 2023")</f>
        <v>novembro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SFA execução mensal</v>
      </c>
      <c r="E4" s="314" t="str">
        <f>+IF(Índice!$D$2=1,"EPR execução mensal","RPE monthly execution")</f>
        <v>EPR execução mensal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Receita corrente</v>
      </c>
      <c r="D5" s="317">
        <v>54977.921540000141</v>
      </c>
      <c r="E5" s="317">
        <v>41350.229830000069</v>
      </c>
      <c r="F5" s="317">
        <v>96328.151370000211</v>
      </c>
    </row>
    <row r="6" spans="2:8" ht="11.25" customHeight="1">
      <c r="B6" s="195"/>
      <c r="C6" s="104" t="str">
        <f>+IF(Índice!$D$2=1,"Impostos diretos","Direct taxes")</f>
        <v>Impostos diretos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Impostos indiretos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Contribuições para Segurança Social, CGA e ADSE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Outras receitas correntes</v>
      </c>
      <c r="D9" s="74">
        <v>54977.921540000141</v>
      </c>
      <c r="E9" s="74">
        <v>41350.229830000069</v>
      </c>
      <c r="F9" s="74">
        <v>96328.151370000211</v>
      </c>
    </row>
    <row r="10" spans="2:8" ht="11.25" customHeight="1">
      <c r="B10" s="195"/>
      <c r="C10" s="109" t="str">
        <f>+IF(Índice!$D$2=1,"Transferências correntes","Current transfers")</f>
        <v>Transferências correntes</v>
      </c>
      <c r="D10" s="74">
        <v>54211.691410000145</v>
      </c>
      <c r="E10" s="74">
        <v>38095.255860000078</v>
      </c>
      <c r="F10" s="74">
        <v>92306.947270000222</v>
      </c>
    </row>
    <row r="11" spans="2:8" ht="11.25" customHeight="1">
      <c r="B11" s="195"/>
      <c r="C11" s="110" t="str">
        <f>+IF(Índice!$D$2=1,"Receita de capital","Capital revenue")</f>
        <v>Receita de capital</v>
      </c>
      <c r="D11" s="83">
        <v>4557.4449199999999</v>
      </c>
      <c r="E11" s="83">
        <v>2134.8933199999974</v>
      </c>
      <c r="F11" s="83">
        <v>6692.3382399999973</v>
      </c>
    </row>
    <row r="12" spans="2:8" ht="11.25" customHeight="1">
      <c r="B12" s="195"/>
      <c r="C12" s="104" t="str">
        <f>+IF(Índice!$D$2=1,"Venda de bens de investimento","Sale of investment goods")</f>
        <v>Venda de bens de investimento</v>
      </c>
      <c r="D12" s="34">
        <v>0</v>
      </c>
      <c r="E12" s="34">
        <v>0.2</v>
      </c>
      <c r="F12" s="34">
        <v>0.2</v>
      </c>
    </row>
    <row r="13" spans="2:8" ht="11.25" customHeight="1">
      <c r="B13" s="195"/>
      <c r="C13" s="104" t="str">
        <f>+IF(Índice!$D$2=1,"Transferências capital","Capital transfers")</f>
        <v>Transferências capital</v>
      </c>
      <c r="D13" s="34">
        <v>4512.3831099999998</v>
      </c>
      <c r="E13" s="34">
        <v>2133.6582799999974</v>
      </c>
      <c r="F13" s="74">
        <v>6646.0413899999967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Receita efetiva</v>
      </c>
      <c r="D15" s="83">
        <v>59535.366460000143</v>
      </c>
      <c r="E15" s="83">
        <v>43485.123150000065</v>
      </c>
      <c r="F15" s="83">
        <v>103020.48961000021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Despesa corrente</v>
      </c>
      <c r="D17" s="83">
        <v>54613.146309999902</v>
      </c>
      <c r="E17" s="83">
        <v>46698.829020000165</v>
      </c>
      <c r="F17" s="83">
        <v>101311.97533000007</v>
      </c>
    </row>
    <row r="18" spans="3:6" ht="11.25" customHeight="1">
      <c r="C18" s="104" t="str">
        <f>+IF(Índice!$D$2=1,"Consumo público","Public consumption")</f>
        <v>Consumo público</v>
      </c>
      <c r="D18" s="74">
        <v>18016.148429999972</v>
      </c>
      <c r="E18" s="74">
        <v>43754.866170000161</v>
      </c>
      <c r="F18" s="74">
        <v>61771.014600000133</v>
      </c>
    </row>
    <row r="19" spans="3:6" ht="11.25" customHeight="1">
      <c r="C19" s="104" t="str">
        <f>+IF(Índice!$D$2=1,"Despesas com o pessoal","Compensation of employees")</f>
        <v>Despesas com o pessoal</v>
      </c>
      <c r="D19" s="74">
        <v>7054.9477199999392</v>
      </c>
      <c r="E19" s="74">
        <v>35663.196230000111</v>
      </c>
      <c r="F19" s="74">
        <v>42718.143950000049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Aquisição de bens e serviços e outras desp. Correntes</v>
      </c>
      <c r="D20" s="74">
        <v>10961.200710000034</v>
      </c>
      <c r="E20" s="74">
        <v>8091.6699400000525</v>
      </c>
      <c r="F20" s="74">
        <v>19052.870650000084</v>
      </c>
    </row>
    <row r="21" spans="3:6" ht="11.25" customHeight="1">
      <c r="C21" s="104" t="str">
        <f>+IF(Índice!$D$2=1,"Subsídios","Subsidies")</f>
        <v>Subsídios</v>
      </c>
      <c r="D21" s="74">
        <v>557.64553999999998</v>
      </c>
      <c r="E21" s="74">
        <v>0</v>
      </c>
      <c r="F21" s="74">
        <v>557.64553999999998</v>
      </c>
    </row>
    <row r="22" spans="3:6" ht="11.25" customHeight="1">
      <c r="C22" s="109" t="str">
        <f>+IF(Índice!$D$2=1,"Juros e outros encargos","Interests and other charges")</f>
        <v>Juros e outros encargos</v>
      </c>
      <c r="D22" s="74">
        <v>0.32554999999998835</v>
      </c>
      <c r="E22" s="74">
        <v>1880.0617999999988</v>
      </c>
      <c r="F22" s="59">
        <v>1880.3873499999988</v>
      </c>
    </row>
    <row r="23" spans="3:6" ht="11.25" customHeight="1">
      <c r="C23" s="109" t="str">
        <f>+IF(Índice!$D$2=1,"Transferências correntes","Current transfers")</f>
        <v>Transferências correntes</v>
      </c>
      <c r="D23" s="74">
        <v>36039.026789999931</v>
      </c>
      <c r="E23" s="74">
        <v>1063.9010500000045</v>
      </c>
      <c r="F23" s="59">
        <v>37102.927839999938</v>
      </c>
    </row>
    <row r="24" spans="3:6" ht="11.25" customHeight="1">
      <c r="C24" s="110" t="str">
        <f>+IF(Índice!$D$2=1,"Despesa de capital","Capital expenditure")</f>
        <v>Despesa de capital</v>
      </c>
      <c r="D24" s="83">
        <v>2180.0605300000007</v>
      </c>
      <c r="E24" s="83">
        <v>3772.9526699999797</v>
      </c>
      <c r="F24" s="83">
        <v>5953.0131999999803</v>
      </c>
    </row>
    <row r="25" spans="3:6" ht="11.25" customHeight="1">
      <c r="C25" s="104" t="str">
        <f>+IF(Índice!$D$2=1,"Investimento","Investment")</f>
        <v>Investimento</v>
      </c>
      <c r="D25" s="74">
        <v>398.42253000000073</v>
      </c>
      <c r="E25" s="74">
        <v>3772.9526699999797</v>
      </c>
      <c r="F25" s="74">
        <v>4171.3751999999804</v>
      </c>
    </row>
    <row r="26" spans="3:6" ht="11.25" customHeight="1">
      <c r="C26" s="104" t="str">
        <f>+IF(Índice!$D$2=1,"Transferências capital","Capital transfers")</f>
        <v>Transferências capital</v>
      </c>
      <c r="D26" s="74">
        <v>1781.6379999999999</v>
      </c>
      <c r="E26" s="74">
        <v>0</v>
      </c>
      <c r="F26" s="74">
        <v>1781.6379999999999</v>
      </c>
    </row>
    <row r="27" spans="3:6" ht="11.25" customHeight="1">
      <c r="C27" s="62" t="str">
        <f>+IF(Índice!$D$2=1,"Outras despesas correntes","Other current expenditures")</f>
        <v>Outras despesas correntes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Despesa efetiva</v>
      </c>
      <c r="D29" s="83">
        <v>56793.206839999904</v>
      </c>
      <c r="E29" s="83">
        <v>50471.781690000142</v>
      </c>
      <c r="F29" s="83">
        <v>107264.98853000005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Saldo global</v>
      </c>
      <c r="D31" s="319">
        <v>2742.1596200002386</v>
      </c>
      <c r="E31" s="319">
        <v>-6986.6585400000768</v>
      </c>
      <c r="F31" s="319">
        <v>-4244.4989199998381</v>
      </c>
    </row>
    <row r="32" spans="3:6" ht="15" customHeight="1">
      <c r="C32" s="336" t="str">
        <f>+IF(Índice!$D$2=1,"Fonte: Secretaria Regional das Finanças","Source: Regional Finance Secretariat")</f>
        <v>Fonte: Secretaria Regional das Finanças</v>
      </c>
      <c r="D32" s="336"/>
      <c r="E32" s="336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novembro de 2023 (valores acumulados)","Table XIII- Accounts payable of the Regional Administration, november (accumulated)")</f>
        <v>QUADRO XIII - Contas a pagar, da Administração Regional, no final de novembro de 2023 (valores acumulados)</v>
      </c>
      <c r="D2" s="264"/>
      <c r="E2" s="264"/>
      <c r="F2" s="264"/>
      <c r="G2" s="264"/>
      <c r="H2" s="264"/>
      <c r="I2" s="231" t="str">
        <f>+IF(Índice!$D$2=1,"€ Milhares","€ Thousands")</f>
        <v>€ Milhares</v>
      </c>
      <c r="K2" s="178" t="str">
        <f>+IF(Índice!$D$2=1,"índice","Index")</f>
        <v>índice</v>
      </c>
    </row>
    <row r="3" spans="2:11" ht="12.75" customHeight="1">
      <c r="C3" s="339" t="s">
        <v>7</v>
      </c>
      <c r="D3" s="340" t="str">
        <f>+IF(Índice!$D$2=1,"novembro 2023","november 2023")</f>
        <v>novembro 2023</v>
      </c>
      <c r="E3" s="340" t="str">
        <f>+IF(Índice!$D$2="PT","janeiro 2020","January")</f>
        <v>January</v>
      </c>
      <c r="F3" s="340" t="str">
        <f>+IF(Índice!$D$2="PT","janeiro 2020","January")</f>
        <v>January</v>
      </c>
      <c r="G3" s="341" t="str">
        <f>+IF(Índice!$D$2=1,"Variação face ao stock inicial de janeiro","Change from period initial stock")</f>
        <v>Variação face ao stock inicial de janeiro</v>
      </c>
      <c r="H3" s="342"/>
      <c r="I3" s="342"/>
    </row>
    <row r="4" spans="2:11" ht="12.75" customHeight="1">
      <c r="C4" s="339"/>
      <c r="D4" s="343" t="str">
        <f>+IF(Índice!$D$2=1,"Stock final do período","Accumulated")</f>
        <v>Stock final do período</v>
      </c>
      <c r="E4" s="343"/>
      <c r="F4" s="343"/>
      <c r="G4" s="344" t="str">
        <f>+IF(Índice!$D$2=1,"Passivo","Liabilities")</f>
        <v>Passivo</v>
      </c>
      <c r="H4" s="344" t="str">
        <f>+IF(Índice!$D$2=1,"Contas a pagar","Accounts payable")</f>
        <v>Contas a pagar</v>
      </c>
      <c r="I4" s="346" t="str">
        <f>+IF(Índice!$D$2=1,"Pagamentos em atraso","Late payments")</f>
        <v>Pagamentos em atraso</v>
      </c>
    </row>
    <row r="5" spans="2:11" ht="22.5">
      <c r="B5" s="29"/>
      <c r="C5" s="339"/>
      <c r="D5" s="181" t="str">
        <f>+IF(Índice!$D$2=1,"Passivo","Liabilities")</f>
        <v>Passivo</v>
      </c>
      <c r="E5" s="181" t="str">
        <f>+IF(Índice!$D$2=1,"Contas a pagar","Accounts payable")</f>
        <v>Contas a pagar</v>
      </c>
      <c r="F5" s="181" t="str">
        <f>+IF(Índice!$D$2=1,"Pagamentos em atraso","Late payments")</f>
        <v>Pagamentos em atraso</v>
      </c>
      <c r="G5" s="345"/>
      <c r="H5" s="345"/>
      <c r="I5" s="347"/>
    </row>
    <row r="6" spans="2:11">
      <c r="B6" s="29"/>
      <c r="C6" s="119" t="str">
        <f>+IF(Índice!$D$2=1,"Despesa corrente","Current expenditure")</f>
        <v>Despesa corrente</v>
      </c>
      <c r="D6" s="162">
        <v>143294979.44</v>
      </c>
      <c r="E6" s="162">
        <v>133824335.83000001</v>
      </c>
      <c r="F6" s="162">
        <v>40909433.109999999</v>
      </c>
      <c r="G6" s="91">
        <v>0.24386881452658082</v>
      </c>
      <c r="H6" s="91">
        <v>0.26357638950243323</v>
      </c>
      <c r="I6" s="116">
        <v>1.6357794863284774</v>
      </c>
    </row>
    <row r="7" spans="2:11">
      <c r="B7" s="29"/>
      <c r="C7" s="120" t="str">
        <f>+IF(Índice!$D$2=1,"Despesas com o pessoal","Compensation of employees")</f>
        <v>Despesas com o pessoal</v>
      </c>
      <c r="D7" s="165">
        <v>10189572.090000002</v>
      </c>
      <c r="E7" s="165">
        <v>9314706.75</v>
      </c>
      <c r="F7" s="165">
        <v>1290.3999999999999</v>
      </c>
      <c r="G7" s="95">
        <v>8.6181635347516128</v>
      </c>
      <c r="H7" s="95">
        <v>16.944202983662983</v>
      </c>
      <c r="I7" s="121">
        <v>-0.85391659525138364</v>
      </c>
    </row>
    <row r="8" spans="2:11">
      <c r="B8" s="29"/>
      <c r="C8" s="120" t="str">
        <f>IF(Índice!$D$2=1,"Aquisição de bens e serviços","Purchase of goods and services")</f>
        <v>Aquisição de bens e serviços</v>
      </c>
      <c r="D8" s="165">
        <v>103038832.49000001</v>
      </c>
      <c r="E8" s="165">
        <v>102262065.03000002</v>
      </c>
      <c r="F8" s="165">
        <v>39336028.559999995</v>
      </c>
      <c r="G8" s="95">
        <v>0.5964848729838248</v>
      </c>
      <c r="H8" s="95">
        <v>0.60447812666977496</v>
      </c>
      <c r="I8" s="121">
        <v>1.6238890665973877</v>
      </c>
    </row>
    <row r="9" spans="2:11">
      <c r="B9" s="29"/>
      <c r="C9" s="120" t="str">
        <f>+IF(Índice!$D$2=1,"Juros e outros encargos","Interests and other charges")</f>
        <v>Juros e outros encargos</v>
      </c>
      <c r="D9" s="165">
        <v>14265208.590000002</v>
      </c>
      <c r="E9" s="165">
        <v>9060089.6799999997</v>
      </c>
      <c r="F9" s="165">
        <v>312938.71999999997</v>
      </c>
      <c r="G9" s="95">
        <v>0.28327856107946769</v>
      </c>
      <c r="H9" s="95">
        <v>0.89564257411310022</v>
      </c>
      <c r="I9" s="121">
        <v>-0.15901872396277039</v>
      </c>
    </row>
    <row r="10" spans="2:11">
      <c r="B10" s="29"/>
      <c r="C10" s="120" t="str">
        <f>+IF(Índice!$D$2=1,"Transferências correntes","Current transfers")</f>
        <v>Transferências correntes</v>
      </c>
      <c r="D10" s="165">
        <v>15395136.870000001</v>
      </c>
      <c r="E10" s="165">
        <v>12784411.469999999</v>
      </c>
      <c r="F10" s="165">
        <v>1259175.43</v>
      </c>
      <c r="G10" s="95">
        <v>-0.59641138892963541</v>
      </c>
      <c r="H10" s="95">
        <v>-0.65015534823265919</v>
      </c>
      <c r="I10" s="121">
        <v>7.4874603617014746</v>
      </c>
    </row>
    <row r="11" spans="2:11">
      <c r="B11" s="29"/>
      <c r="C11" s="120" t="str">
        <f>+IF(Índice!$D$2=1,"Subsídios","Subsidies")</f>
        <v>Subsídios</v>
      </c>
      <c r="D11" s="165">
        <v>264574.41000000003</v>
      </c>
      <c r="E11" s="165">
        <v>264514.41000000003</v>
      </c>
      <c r="F11" s="165">
        <v>0</v>
      </c>
      <c r="G11" s="95">
        <v>-0.16014578689047421</v>
      </c>
      <c r="H11" s="95">
        <v>-0.16033624844261962</v>
      </c>
      <c r="I11" s="121">
        <v>0</v>
      </c>
    </row>
    <row r="12" spans="2:11">
      <c r="B12" s="29"/>
      <c r="C12" s="120" t="str">
        <f>+IF(Índice!$D$2=1,"Outras despesas correntes","Other current expenditures")</f>
        <v>Outras despesas correntes</v>
      </c>
      <c r="D12" s="165">
        <v>141654.99000000002</v>
      </c>
      <c r="E12" s="165">
        <v>138548.49000000002</v>
      </c>
      <c r="F12" s="165">
        <v>0</v>
      </c>
      <c r="G12" s="95">
        <v>4.976501973041084</v>
      </c>
      <c r="H12" s="95">
        <v>7.095074191535458</v>
      </c>
      <c r="I12" s="121">
        <v>-1</v>
      </c>
    </row>
    <row r="13" spans="2:11">
      <c r="B13" s="29"/>
      <c r="C13" s="115" t="str">
        <f>+IF(Índice!$D$2=1,"Despesa de capital","Capital expenditure")</f>
        <v>Despesa de capital</v>
      </c>
      <c r="D13" s="163">
        <v>44374712.390000001</v>
      </c>
      <c r="E13" s="163">
        <v>28402664.109999999</v>
      </c>
      <c r="F13" s="163">
        <v>18626.490000000002</v>
      </c>
      <c r="G13" s="92">
        <v>-0.12235944832927481</v>
      </c>
      <c r="H13" s="92">
        <v>-0.17263954707144935</v>
      </c>
      <c r="I13" s="117">
        <v>-0.97924102429175375</v>
      </c>
    </row>
    <row r="14" spans="2:11">
      <c r="B14" s="29"/>
      <c r="C14" s="120" t="str">
        <f>+IF(Índice!$D$2=1,"Aquisições de Bens de Capital","Purchase of capital goods")</f>
        <v>Aquisições de Bens de Capital</v>
      </c>
      <c r="D14" s="165">
        <v>24035891.920000002</v>
      </c>
      <c r="E14" s="165">
        <v>14857969.85</v>
      </c>
      <c r="F14" s="165">
        <v>18626.490000000002</v>
      </c>
      <c r="G14" s="95">
        <v>-0.19368376982767888</v>
      </c>
      <c r="H14" s="95">
        <v>-0.25616321616029225</v>
      </c>
      <c r="I14" s="121">
        <v>-0.97924102429175375</v>
      </c>
    </row>
    <row r="15" spans="2:11">
      <c r="B15" s="29"/>
      <c r="C15" s="120" t="str">
        <f>+IF(Índice!$D$2=1,"Transferências capital","Capital transfers")</f>
        <v>Transferências capital</v>
      </c>
      <c r="D15" s="165">
        <v>20338820.469999999</v>
      </c>
      <c r="E15" s="165">
        <v>13544694.26</v>
      </c>
      <c r="F15" s="165">
        <v>0</v>
      </c>
      <c r="G15" s="95">
        <v>-1.9903924765551806E-2</v>
      </c>
      <c r="H15" s="95">
        <v>-5.641336850603984E-2</v>
      </c>
      <c r="I15" s="121">
        <v>0</v>
      </c>
    </row>
    <row r="16" spans="2:11">
      <c r="B16" s="29"/>
      <c r="C16" s="122" t="str">
        <f>+IF(Índice!$D$2=1,"Outras despesas de capital","Other capital expenditures")</f>
        <v>Outras despesas de capital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7</v>
      </c>
      <c r="D17" s="164">
        <v>187669691.82999998</v>
      </c>
      <c r="E17" s="164">
        <v>162226999.94000003</v>
      </c>
      <c r="F17" s="164">
        <v>40928059.600000001</v>
      </c>
      <c r="G17" s="147">
        <v>0.13216071418197672</v>
      </c>
      <c r="H17" s="147">
        <v>0.1567942018798838</v>
      </c>
      <c r="I17" s="148">
        <v>1.4928645161421485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excluindo novas EPR</v>
      </c>
      <c r="D19" s="164">
        <v>117148378.09999996</v>
      </c>
      <c r="E19" s="164">
        <v>91792559.24000001</v>
      </c>
      <c r="F19" s="164">
        <v>4029051.0600000005</v>
      </c>
      <c r="G19" s="147">
        <v>-3.3638332541474858E-2</v>
      </c>
      <c r="H19" s="147">
        <v>-4.0977661251032527E-2</v>
      </c>
      <c r="I19" s="148">
        <v>0.82520495922152159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Compreende as Entidades Públicas Reclassseicadas que passaram a figurar nos reportes mensais a partir de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Fonte: Secretaria Regional das Finanças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novembro de 2023 (valores acumulados)","Table XIV - Accounts payable of the Regional Gov., november (accumulated)")</f>
        <v>QUADRO XIV - Contas a pagar, do Governo Regional, no final de novembro de 2023 (valores acumulados)</v>
      </c>
      <c r="D23" s="265"/>
      <c r="E23" s="265"/>
      <c r="F23" s="265"/>
      <c r="G23" s="124"/>
      <c r="H23" s="124"/>
      <c r="I23" s="231" t="str">
        <f>+IF(Índice!$D$2=1,"€ Milhares","€ Thousands")</f>
        <v>€ Milhares</v>
      </c>
    </row>
    <row r="24" spans="2:9">
      <c r="B24" s="29"/>
      <c r="C24" s="339" t="str">
        <f>+IF(Índice!$D$2=1,"Governo Regional","Regional Government")</f>
        <v>Governo Regional</v>
      </c>
      <c r="D24" s="340" t="str">
        <f>+IF(Índice!$D$2=1,"novembro 2023","november 2023")</f>
        <v>novembro 2023</v>
      </c>
      <c r="E24" s="340" t="str">
        <f>+IF(Índice!$D$2="PT","janeiro 2020","January")</f>
        <v>January</v>
      </c>
      <c r="F24" s="340" t="str">
        <f>+IF(Índice!$D$2="PT","janeiro 2020","January")</f>
        <v>January</v>
      </c>
      <c r="G24" s="341" t="str">
        <f>+IF(Índice!$D$2=1,"Variação face ao stock inicial de janeiro","Change from january initial stock")</f>
        <v>Variação face ao stock inicial de janeiro</v>
      </c>
      <c r="H24" s="342"/>
      <c r="I24" s="342"/>
    </row>
    <row r="25" spans="2:9" ht="22.5" customHeight="1">
      <c r="B25" s="29"/>
      <c r="C25" s="339"/>
      <c r="D25" s="343" t="str">
        <f>+IF(Índice!$D$2=1,"Stock final do período","Accumulated")</f>
        <v>Stock final do período</v>
      </c>
      <c r="E25" s="343"/>
      <c r="F25" s="343"/>
      <c r="G25" s="344" t="str">
        <f>+IF(Índice!$D$2=1,"Passivo","Liabilities")</f>
        <v>Passivo</v>
      </c>
      <c r="H25" s="344" t="str">
        <f>+IF(Índice!$D$2=1,"Contas a pagar","Accounts payable")</f>
        <v>Contas a pagar</v>
      </c>
      <c r="I25" s="346" t="str">
        <f>+IF(Índice!$D$2=1,"Pagamentos em atraso","Late payments")</f>
        <v>Pagamentos em atraso</v>
      </c>
    </row>
    <row r="26" spans="2:9" ht="22.5">
      <c r="B26" s="29"/>
      <c r="C26" s="339"/>
      <c r="D26" s="181" t="str">
        <f>+IF(Índice!$D$2=1,"Passivo","Liabilities")</f>
        <v>Passivo</v>
      </c>
      <c r="E26" s="181" t="str">
        <f>+IF(Índice!$D$2=1,"Contas a pagar","Accounts payable")</f>
        <v>Contas a pagar</v>
      </c>
      <c r="F26" s="181" t="str">
        <f>+IF(Índice!$D$2=1,"Pagamentos em atraso","Late payments")</f>
        <v>Pagamentos em atraso</v>
      </c>
      <c r="G26" s="345"/>
      <c r="H26" s="345"/>
      <c r="I26" s="347"/>
    </row>
    <row r="27" spans="2:9" ht="20.100000000000001" customHeight="1">
      <c r="B27" s="29"/>
      <c r="C27" s="115" t="str">
        <f>+IF(Índice!$D$2=1,"Despesa corrente","Current expenditure")</f>
        <v>Despesa corrente</v>
      </c>
      <c r="D27" s="162">
        <v>38672563.210000001</v>
      </c>
      <c r="E27" s="162">
        <v>34417198.609999999</v>
      </c>
      <c r="F27" s="162">
        <v>1055859.68</v>
      </c>
      <c r="G27" s="91">
        <v>2.3393955833140292</v>
      </c>
      <c r="H27" s="91">
        <v>3.7800613056234136</v>
      </c>
      <c r="I27" s="116">
        <v>-5.4283893463497823E-2</v>
      </c>
    </row>
    <row r="28" spans="2:9" ht="20.100000000000001" customHeight="1">
      <c r="B28" s="29"/>
      <c r="C28" s="115" t="str">
        <f>+IF(Índice!$D$2=1,"Despesa de capital","Capital expenditure")</f>
        <v>Despesa de capital</v>
      </c>
      <c r="D28" s="163">
        <v>33258332.23</v>
      </c>
      <c r="E28" s="163">
        <v>26060275.73</v>
      </c>
      <c r="F28" s="163">
        <v>630</v>
      </c>
      <c r="G28" s="92">
        <v>-0.13285888822835179</v>
      </c>
      <c r="H28" s="172">
        <v>-0.15495754138980566</v>
      </c>
      <c r="I28" s="117">
        <v>0</v>
      </c>
    </row>
    <row r="29" spans="2:9" ht="20.100000000000001" customHeight="1">
      <c r="B29" s="29"/>
      <c r="C29" s="146" t="s">
        <v>7</v>
      </c>
      <c r="D29" s="164">
        <v>71930895.439999998</v>
      </c>
      <c r="E29" s="164">
        <v>60477474.340000004</v>
      </c>
      <c r="F29" s="164">
        <v>1056489.68</v>
      </c>
      <c r="G29" s="147">
        <v>0.44049891920308992</v>
      </c>
      <c r="H29" s="147">
        <v>0.58987358069675566</v>
      </c>
      <c r="I29" s="148">
        <v>-5.4253279389764653E-2</v>
      </c>
    </row>
    <row r="30" spans="2:9">
      <c r="C30" s="222" t="str">
        <f>+IF(Índice!$D$2=1,"Fonte: Secretaria Regional das Finanças","Source: Regional Finance Secretariat")</f>
        <v>Fonte: Secretaria Regional das Finanças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novembro de 2023 (valores acumulados)","Table XV - Accounts payable of the ASFs, november (accumulated)")</f>
        <v>QUADRO XV - Contas a pagar, dos Serviços e Fundos Autónomos, no final de novembro de 2023 (valores acumulados)</v>
      </c>
      <c r="D32" s="264"/>
      <c r="E32" s="264"/>
      <c r="F32" s="264"/>
      <c r="G32" s="266"/>
      <c r="H32" s="266"/>
      <c r="I32" s="231" t="str">
        <f>+IF(Índice!$D$2=1,"€ Milhares","€ Thousands")</f>
        <v>€ Milhares</v>
      </c>
    </row>
    <row r="33" spans="2:9">
      <c r="C33" s="348" t="str">
        <f>+IF(Índice!$D$2=1,"Serviços e Fundos Autónomos","Autonomous Services and Funds")</f>
        <v>Serviços e Fundos Autónomos</v>
      </c>
      <c r="D33" s="340" t="str">
        <f>+IF(Índice!$D$2=1,"novembro 2023","november 2023")</f>
        <v>novembro 2023</v>
      </c>
      <c r="E33" s="340" t="str">
        <f>+IF(Índice!$D$2="PT","janeiro 2020","January")</f>
        <v>January</v>
      </c>
      <c r="F33" s="340" t="str">
        <f>+IF(Índice!$D$2="PT","janeiro 2020","January")</f>
        <v>January</v>
      </c>
      <c r="G33" s="341" t="str">
        <f>+IF(Índice!$D$2=1,"Variação face ao stock inicial de janeiro","Change from january initial stock")</f>
        <v>Variação face ao stock inicial de janeiro</v>
      </c>
      <c r="H33" s="342"/>
      <c r="I33" s="342"/>
    </row>
    <row r="34" spans="2:9" ht="12.75" customHeight="1">
      <c r="C34" s="349"/>
      <c r="D34" s="351" t="str">
        <f>+IF(Índice!$D$2=1,"Stock final do período","Accumulated")</f>
        <v>Stock final do período</v>
      </c>
      <c r="E34" s="352"/>
      <c r="F34" s="353"/>
      <c r="G34" s="354" t="str">
        <f>+IF(Índice!$D$2=1,"Passivo","Liabilities")</f>
        <v>Passivo</v>
      </c>
      <c r="H34" s="354" t="str">
        <f>+IF(Índice!$D$2=1,"Contas a pagar","Accounts payable")</f>
        <v>Contas a pagar</v>
      </c>
      <c r="I34" s="346" t="str">
        <f>+IF(Índice!$D$2=1,"Pagamentos em atraso","Late payments")</f>
        <v>Pagamentos em atraso</v>
      </c>
    </row>
    <row r="35" spans="2:9" ht="22.5">
      <c r="C35" s="350"/>
      <c r="D35" s="181" t="str">
        <f>+IF(Índice!$D$2=1,"Passivo","Liabilities")</f>
        <v>Passivo</v>
      </c>
      <c r="E35" s="181" t="str">
        <f>+IF(Índice!$D$2=1,"Contas a pagar","Accounts payable")</f>
        <v>Contas a pagar</v>
      </c>
      <c r="F35" s="181" t="str">
        <f>+IF(Índice!$D$2=1,"Pagamentos em atraso","Late payments")</f>
        <v>Pagamentos em atraso</v>
      </c>
      <c r="G35" s="345"/>
      <c r="H35" s="345"/>
      <c r="I35" s="347"/>
    </row>
    <row r="36" spans="2:9" ht="20.100000000000001" customHeight="1">
      <c r="C36" s="115" t="str">
        <f>+IF(Índice!$D$2=1,"Despesa corrente","Current expenditure")</f>
        <v>Despesa corrente</v>
      </c>
      <c r="D36" s="162">
        <v>26357822.620000012</v>
      </c>
      <c r="E36" s="162">
        <v>25411300.080000013</v>
      </c>
      <c r="F36" s="162">
        <v>2972561.38</v>
      </c>
      <c r="G36" s="91">
        <v>-0.50733854925759159</v>
      </c>
      <c r="H36" s="91">
        <v>-0.51924332475626367</v>
      </c>
      <c r="I36" s="116">
        <v>1.7262313554961541</v>
      </c>
    </row>
    <row r="37" spans="2:9" ht="20.100000000000001" customHeight="1">
      <c r="C37" s="115" t="str">
        <f>+IF(Índice!$D$2=1,"Despesa de capital","Capital expenditure")</f>
        <v>Despesa de capital</v>
      </c>
      <c r="D37" s="163">
        <v>296596.65000000002</v>
      </c>
      <c r="E37" s="163">
        <v>296596.65000000002</v>
      </c>
      <c r="F37" s="163">
        <v>0</v>
      </c>
      <c r="G37" s="92">
        <v>-0.33956582263962309</v>
      </c>
      <c r="H37" s="92">
        <v>-0.33956582263962309</v>
      </c>
      <c r="I37" s="117">
        <v>0</v>
      </c>
    </row>
    <row r="38" spans="2:9" ht="20.100000000000001" customHeight="1">
      <c r="C38" s="146" t="s">
        <v>7</v>
      </c>
      <c r="D38" s="164">
        <v>26654419.270000011</v>
      </c>
      <c r="E38" s="164">
        <v>25707896.730000012</v>
      </c>
      <c r="F38" s="164">
        <v>2972561.38</v>
      </c>
      <c r="G38" s="147">
        <v>-0.5059419660839739</v>
      </c>
      <c r="H38" s="147">
        <v>-0.51772957360156824</v>
      </c>
      <c r="I38" s="148">
        <v>1.7262313554961541</v>
      </c>
    </row>
    <row r="39" spans="2:9">
      <c r="C39" s="222" t="str">
        <f>+IF(Índice!$D$2=1,"Fonte: Secretaria Regional das Finanças","Source: Regional Finance Secretariat")</f>
        <v>Fonte: Secretaria Regional das Finanças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novembro de 2023 (valores acumulados)","Table XVI - Accounts payable of the RPEs, november (accumulated)")</f>
        <v>QUADRO XVI - Contas a pagar, das Entidades Públicas Reclassseicadas, no final de novembro de 2023 (valores acumulados)</v>
      </c>
      <c r="D41" s="264"/>
      <c r="E41" s="264"/>
      <c r="F41" s="264"/>
      <c r="G41" s="266"/>
      <c r="H41" s="266"/>
      <c r="I41" s="231" t="str">
        <f>+IF(Índice!$D$2=1,"€ Milhares","€ Thousands")</f>
        <v>€ Milhares</v>
      </c>
    </row>
    <row r="42" spans="2:9">
      <c r="C42" s="348" t="str">
        <f>+IF(Índice!$D$2=1,"Entidades Públicas Reclassseicadas","Reclassseied Public Entities")</f>
        <v>Entidades Públicas Reclassseicadas</v>
      </c>
      <c r="D42" s="340" t="str">
        <f>+IF(Índice!$D$2=1,"novembro 2023","november 2023")</f>
        <v>novembro 2023</v>
      </c>
      <c r="E42" s="340" t="str">
        <f>+IF(Índice!$D$2="PT","janeiro 2020","January")</f>
        <v>January</v>
      </c>
      <c r="F42" s="340" t="str">
        <f>+IF(Índice!$D$2="PT","janeiro 2020","January")</f>
        <v>January</v>
      </c>
      <c r="G42" s="341" t="str">
        <f>+IF(Índice!$D$2=1,"Variação face ao stock inicial de janeiro","Change from january initial stock")</f>
        <v>Variação face ao stock inicial de janeiro</v>
      </c>
      <c r="H42" s="342"/>
      <c r="I42" s="342"/>
    </row>
    <row r="43" spans="2:9" ht="12.75" customHeight="1">
      <c r="C43" s="349"/>
      <c r="D43" s="351" t="str">
        <f>+IF(Índice!$D$2=1,"Stock final do período","Accumulated")</f>
        <v>Stock final do período</v>
      </c>
      <c r="E43" s="352"/>
      <c r="F43" s="353"/>
      <c r="G43" s="344" t="str">
        <f>+IF(Índice!$D$2=1,"Passivo","Liabilities")</f>
        <v>Passivo</v>
      </c>
      <c r="H43" s="344" t="str">
        <f>+IF(Índice!$D$2=1,"Contas a pagar","Accounts payable")</f>
        <v>Contas a pagar</v>
      </c>
      <c r="I43" s="346" t="str">
        <f>+IF(Índice!$D$2=1,"Pagamentos em atraso","Late payments")</f>
        <v>Pagamentos em atraso</v>
      </c>
    </row>
    <row r="44" spans="2:9" ht="22.5">
      <c r="C44" s="350"/>
      <c r="D44" s="181" t="str">
        <f>+IF(Índice!$D$2=1,"Passivo","Liabilities")</f>
        <v>Passivo</v>
      </c>
      <c r="E44" s="181" t="str">
        <f>+IF(Índice!$D$2=1,"Contas a pagar","Accounts payable")</f>
        <v>Contas a pagar</v>
      </c>
      <c r="F44" s="181" t="str">
        <f>+IF(Índice!$D$2=1,"Pagamentos em atraso","Late payments")</f>
        <v>Pagamentos em atraso</v>
      </c>
      <c r="G44" s="345"/>
      <c r="H44" s="345"/>
      <c r="I44" s="347"/>
    </row>
    <row r="45" spans="2:9" ht="20.100000000000001" customHeight="1">
      <c r="C45" s="115" t="str">
        <f>+IF(Índice!$D$2=1,"Despesa corrente","Current expenditure")</f>
        <v>Despesa corrente</v>
      </c>
      <c r="D45" s="162">
        <v>78264593.609999985</v>
      </c>
      <c r="E45" s="162">
        <v>73995837.140000001</v>
      </c>
      <c r="F45" s="162">
        <v>36881012.049999997</v>
      </c>
      <c r="G45" s="91">
        <v>0.5615613549039018</v>
      </c>
      <c r="H45" s="91">
        <v>0.61379264571904013</v>
      </c>
      <c r="I45" s="116">
        <v>1.7700948494632542</v>
      </c>
    </row>
    <row r="46" spans="2:9" ht="20.100000000000001" customHeight="1">
      <c r="C46" s="115" t="str">
        <f>+IF(Índice!$D$2=1,"Despesa de capital","Capital expenditure")</f>
        <v>Despesa de capital</v>
      </c>
      <c r="D46" s="163">
        <v>10819783.51</v>
      </c>
      <c r="E46" s="163">
        <v>2045791.73</v>
      </c>
      <c r="F46" s="163">
        <v>17996.490000000002</v>
      </c>
      <c r="G46" s="92">
        <v>-7.9815678085556008E-2</v>
      </c>
      <c r="H46" s="92">
        <v>-0.32729522843821868</v>
      </c>
      <c r="I46" s="117">
        <v>-0.97992905858159718</v>
      </c>
    </row>
    <row r="47" spans="2:9" ht="20.100000000000001" customHeight="1">
      <c r="C47" s="146" t="s">
        <v>7</v>
      </c>
      <c r="D47" s="164">
        <v>89084377.11999999</v>
      </c>
      <c r="E47" s="164">
        <v>76041628.870000005</v>
      </c>
      <c r="F47" s="164">
        <v>36899008.539999999</v>
      </c>
      <c r="G47" s="147">
        <v>0.43968406309322505</v>
      </c>
      <c r="H47" s="147">
        <v>0.55525733407777933</v>
      </c>
      <c r="I47" s="148">
        <v>1.596577416485276</v>
      </c>
    </row>
    <row r="48" spans="2:9">
      <c r="C48" s="222" t="str">
        <f>+IF(Índice!$D$2=1,"Fonte: Secretaria Regional das Finanças","Source: Regional Finance Secretariat")</f>
        <v>Fonte: Secretaria Regional das Finanças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4"/>
  <sheetViews>
    <sheetView showGridLines="0" topLeftCell="A72" zoomScale="85" zoomScaleNormal="85" workbookViewId="0">
      <selection activeCell="C80" sqref="C80:C112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índice</v>
      </c>
    </row>
    <row r="3" spans="2:5">
      <c r="B3" s="55"/>
      <c r="C3" s="289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14</v>
      </c>
      <c r="D5" s="171"/>
      <c r="E5" s="169"/>
    </row>
    <row r="6" spans="2:5">
      <c r="B6" s="195"/>
      <c r="C6" s="170" t="s">
        <v>15</v>
      </c>
      <c r="D6" s="170"/>
      <c r="E6" s="169"/>
    </row>
    <row r="7" spans="2:5">
      <c r="B7" s="195"/>
      <c r="C7" s="170" t="s">
        <v>16</v>
      </c>
      <c r="D7" s="170"/>
      <c r="E7" s="169"/>
    </row>
    <row r="8" spans="2:5">
      <c r="B8" s="195"/>
      <c r="C8" s="171" t="s">
        <v>17</v>
      </c>
      <c r="D8" s="171"/>
      <c r="E8" s="169"/>
    </row>
    <row r="9" spans="2:5">
      <c r="B9" s="195"/>
      <c r="C9" s="170" t="s">
        <v>18</v>
      </c>
      <c r="D9" s="170"/>
      <c r="E9" s="169"/>
    </row>
    <row r="10" spans="2:5">
      <c r="B10" s="195"/>
      <c r="C10" s="170" t="s">
        <v>19</v>
      </c>
      <c r="D10" s="170"/>
      <c r="E10" s="169"/>
    </row>
    <row r="11" spans="2:5">
      <c r="B11" s="195"/>
      <c r="C11" s="170" t="s">
        <v>104</v>
      </c>
      <c r="D11" s="170"/>
      <c r="E11" s="169"/>
    </row>
    <row r="12" spans="2:5">
      <c r="B12" s="195"/>
      <c r="C12" s="170" t="s">
        <v>99</v>
      </c>
      <c r="D12" s="170"/>
      <c r="E12" s="169"/>
    </row>
    <row r="13" spans="2:5">
      <c r="B13" s="195"/>
      <c r="C13" s="170" t="s">
        <v>20</v>
      </c>
      <c r="D13" s="170"/>
      <c r="E13" s="169"/>
    </row>
    <row r="14" spans="2:5">
      <c r="B14" s="195"/>
      <c r="C14" s="170" t="s">
        <v>21</v>
      </c>
      <c r="D14" s="170"/>
      <c r="E14" s="169"/>
    </row>
    <row r="15" spans="2:5">
      <c r="B15" s="195"/>
      <c r="C15" s="170" t="s">
        <v>22</v>
      </c>
      <c r="D15" s="170"/>
      <c r="E15" s="169"/>
    </row>
    <row r="16" spans="2:5">
      <c r="B16" s="195"/>
      <c r="C16" s="170" t="s">
        <v>23</v>
      </c>
      <c r="D16" s="170"/>
      <c r="E16" s="169"/>
    </row>
    <row r="17" spans="2:5">
      <c r="B17" s="195"/>
      <c r="C17" s="170" t="s">
        <v>24</v>
      </c>
      <c r="D17" s="171"/>
      <c r="E17" s="169"/>
    </row>
    <row r="18" spans="2:5">
      <c r="B18" s="195"/>
      <c r="C18" s="170" t="s">
        <v>25</v>
      </c>
      <c r="D18" s="170"/>
      <c r="E18" s="169"/>
    </row>
    <row r="19" spans="2:5">
      <c r="B19" s="195"/>
      <c r="C19" s="170" t="s">
        <v>26</v>
      </c>
      <c r="D19" s="170"/>
      <c r="E19" s="169"/>
    </row>
    <row r="20" spans="2:5">
      <c r="B20" s="195"/>
      <c r="C20" s="170" t="s">
        <v>27</v>
      </c>
      <c r="D20" s="170"/>
      <c r="E20" s="169"/>
    </row>
    <row r="21" spans="2:5">
      <c r="B21" s="195"/>
      <c r="C21" s="170" t="s">
        <v>28</v>
      </c>
      <c r="D21" s="170"/>
      <c r="E21" s="169"/>
    </row>
    <row r="22" spans="2:5">
      <c r="B22" s="195"/>
      <c r="C22" s="170" t="s">
        <v>29</v>
      </c>
      <c r="D22" s="170"/>
      <c r="E22" s="169"/>
    </row>
    <row r="23" spans="2:5">
      <c r="B23" s="195"/>
      <c r="C23" s="170" t="s">
        <v>30</v>
      </c>
      <c r="D23" s="170"/>
      <c r="E23" s="169"/>
    </row>
    <row r="24" spans="2:5">
      <c r="B24" s="195"/>
      <c r="C24" s="170" t="s">
        <v>31</v>
      </c>
      <c r="D24" s="170"/>
      <c r="E24" s="169"/>
    </row>
    <row r="25" spans="2:5">
      <c r="B25" s="195"/>
      <c r="C25" s="170" t="s">
        <v>32</v>
      </c>
      <c r="D25" s="170"/>
      <c r="E25" s="169"/>
    </row>
    <row r="26" spans="2:5">
      <c r="B26" s="195"/>
      <c r="C26" s="170" t="s">
        <v>33</v>
      </c>
      <c r="D26" s="170"/>
      <c r="E26" s="169"/>
    </row>
    <row r="27" spans="2:5">
      <c r="B27" s="195"/>
      <c r="C27" s="170" t="s">
        <v>105</v>
      </c>
      <c r="D27" s="170"/>
      <c r="E27" s="169"/>
    </row>
    <row r="28" spans="2:5">
      <c r="B28" s="195"/>
      <c r="C28" s="170" t="s">
        <v>34</v>
      </c>
      <c r="D28" s="170"/>
      <c r="E28" s="169"/>
    </row>
    <row r="29" spans="2:5">
      <c r="B29" s="55"/>
      <c r="C29" s="170" t="s">
        <v>35</v>
      </c>
      <c r="D29" s="170"/>
      <c r="E29" s="169"/>
    </row>
    <row r="30" spans="2:5">
      <c r="B30" s="55"/>
      <c r="C30" s="170" t="s">
        <v>36</v>
      </c>
      <c r="D30" s="170"/>
      <c r="E30" s="169"/>
    </row>
    <row r="31" spans="2:5">
      <c r="B31" s="55"/>
      <c r="C31" s="170" t="s">
        <v>37</v>
      </c>
      <c r="D31" s="170"/>
      <c r="E31" s="169"/>
    </row>
    <row r="32" spans="2:5">
      <c r="B32" s="55"/>
      <c r="C32" s="170" t="s">
        <v>38</v>
      </c>
      <c r="D32" s="170"/>
      <c r="E32" s="169"/>
    </row>
    <row r="33" spans="2:5">
      <c r="B33" s="55"/>
      <c r="C33" s="170" t="s">
        <v>39</v>
      </c>
      <c r="D33" s="170"/>
      <c r="E33" s="169"/>
    </row>
    <row r="34" spans="2:5">
      <c r="B34" s="55"/>
      <c r="C34" s="170" t="s">
        <v>40</v>
      </c>
      <c r="D34" s="170"/>
      <c r="E34" s="169"/>
    </row>
    <row r="35" spans="2:5">
      <c r="B35" s="55"/>
      <c r="C35" s="170" t="s">
        <v>41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0" t="s">
        <v>43</v>
      </c>
      <c r="D37" s="170"/>
      <c r="E37" s="169"/>
    </row>
    <row r="38" spans="2:5">
      <c r="B38" s="55"/>
      <c r="C38" s="171" t="s">
        <v>44</v>
      </c>
      <c r="D38" s="170"/>
      <c r="E38" s="169"/>
    </row>
    <row r="39" spans="2:5">
      <c r="B39" s="55"/>
      <c r="C39" s="170" t="s">
        <v>45</v>
      </c>
      <c r="D39" s="170"/>
      <c r="E39" s="169"/>
    </row>
    <row r="40" spans="2:5">
      <c r="B40" s="55"/>
      <c r="C40" s="170" t="s">
        <v>46</v>
      </c>
      <c r="D40" s="170"/>
      <c r="E40" s="169"/>
    </row>
    <row r="41" spans="2:5">
      <c r="B41" s="55"/>
      <c r="C41" s="170" t="s">
        <v>47</v>
      </c>
      <c r="D41" s="170"/>
      <c r="E41" s="169"/>
    </row>
    <row r="42" spans="2:5">
      <c r="B42" s="55"/>
      <c r="C42" s="171" t="s">
        <v>48</v>
      </c>
      <c r="D42" s="170"/>
      <c r="E42" s="169"/>
    </row>
    <row r="43" spans="2:5">
      <c r="B43" s="55"/>
      <c r="C43" s="170" t="s">
        <v>49</v>
      </c>
      <c r="D43" s="171"/>
      <c r="E43" s="169"/>
    </row>
    <row r="44" spans="2:5">
      <c r="B44" s="55"/>
      <c r="C44" s="170" t="s">
        <v>50</v>
      </c>
      <c r="D44" s="170"/>
      <c r="E44" s="169"/>
    </row>
    <row r="45" spans="2:5">
      <c r="B45" s="55"/>
      <c r="C45" s="170" t="s">
        <v>100</v>
      </c>
      <c r="D45" s="171"/>
      <c r="E45" s="169"/>
    </row>
    <row r="46" spans="2:5">
      <c r="B46" s="55"/>
      <c r="C46" s="170" t="s">
        <v>51</v>
      </c>
      <c r="D46" s="170"/>
      <c r="E46" s="169"/>
    </row>
    <row r="47" spans="2:5">
      <c r="B47" s="55"/>
      <c r="C47" s="170" t="s">
        <v>52</v>
      </c>
      <c r="D47" s="170"/>
      <c r="E47" s="169"/>
    </row>
    <row r="48" spans="2:5">
      <c r="B48" s="55"/>
      <c r="C48" s="170" t="s">
        <v>53</v>
      </c>
      <c r="D48" s="170"/>
      <c r="E48" s="169"/>
    </row>
    <row r="49" spans="2:5">
      <c r="B49" s="55"/>
      <c r="C49" s="170" t="s">
        <v>54</v>
      </c>
      <c r="D49" s="170"/>
      <c r="E49" s="169"/>
    </row>
    <row r="50" spans="2:5">
      <c r="B50" s="55"/>
      <c r="C50" s="170" t="s">
        <v>101</v>
      </c>
      <c r="D50" s="171"/>
      <c r="E50" s="169"/>
    </row>
    <row r="51" spans="2:5">
      <c r="B51" s="55"/>
      <c r="C51" s="171" t="s">
        <v>55</v>
      </c>
      <c r="D51" s="170"/>
      <c r="E51" s="169"/>
    </row>
    <row r="52" spans="2:5">
      <c r="B52" s="55"/>
      <c r="C52" s="170" t="s">
        <v>106</v>
      </c>
      <c r="D52" s="170"/>
      <c r="E52" s="169"/>
    </row>
    <row r="53" spans="2:5">
      <c r="B53" s="55"/>
      <c r="C53" s="170" t="s">
        <v>56</v>
      </c>
      <c r="D53" s="170"/>
      <c r="E53" s="169"/>
    </row>
    <row r="54" spans="2:5">
      <c r="B54" s="55"/>
      <c r="C54" s="171" t="s">
        <v>57</v>
      </c>
      <c r="D54" s="171"/>
      <c r="E54" s="169"/>
    </row>
    <row r="55" spans="2:5">
      <c r="B55" s="55"/>
      <c r="C55" s="170" t="s">
        <v>58</v>
      </c>
    </row>
    <row r="56" spans="2:5">
      <c r="B56" s="55"/>
      <c r="C56" s="170" t="s">
        <v>59</v>
      </c>
    </row>
    <row r="57" spans="2:5">
      <c r="B57" s="55"/>
      <c r="C57" s="170" t="s">
        <v>60</v>
      </c>
    </row>
    <row r="58" spans="2:5">
      <c r="B58" s="55"/>
      <c r="C58" s="170" t="s">
        <v>61</v>
      </c>
    </row>
    <row r="59" spans="2:5">
      <c r="B59" s="55"/>
      <c r="C59" s="171" t="s">
        <v>62</v>
      </c>
    </row>
    <row r="60" spans="2:5">
      <c r="B60" s="55"/>
      <c r="C60" s="170" t="s">
        <v>63</v>
      </c>
    </row>
    <row r="61" spans="2:5">
      <c r="B61" s="55"/>
      <c r="C61" s="170" t="s">
        <v>102</v>
      </c>
    </row>
    <row r="62" spans="2:5">
      <c r="B62" s="55"/>
      <c r="C62" s="170" t="s">
        <v>64</v>
      </c>
    </row>
    <row r="63" spans="2:5">
      <c r="B63" s="55"/>
      <c r="C63" s="171" t="s">
        <v>90</v>
      </c>
    </row>
    <row r="64" spans="2:5">
      <c r="B64" s="55"/>
      <c r="C64" s="170" t="s">
        <v>103</v>
      </c>
    </row>
    <row r="65" spans="2:3">
      <c r="B65" s="55"/>
      <c r="C65" s="171" t="s">
        <v>65</v>
      </c>
    </row>
    <row r="66" spans="2:3">
      <c r="B66" s="55"/>
      <c r="C66" s="170" t="s">
        <v>66</v>
      </c>
    </row>
    <row r="67" spans="2:3">
      <c r="B67" s="55"/>
      <c r="C67" s="170" t="s">
        <v>67</v>
      </c>
    </row>
    <row r="68" spans="2:3">
      <c r="B68" s="55"/>
      <c r="C68" s="170" t="s">
        <v>68</v>
      </c>
    </row>
    <row r="69" spans="2:3">
      <c r="B69" s="55"/>
      <c r="C69" s="171" t="s">
        <v>69</v>
      </c>
    </row>
    <row r="70" spans="2:3">
      <c r="B70" s="55"/>
      <c r="C70" s="170" t="s">
        <v>70</v>
      </c>
    </row>
    <row r="71" spans="2:3">
      <c r="B71" s="55"/>
      <c r="C71" s="171" t="s">
        <v>71</v>
      </c>
    </row>
    <row r="72" spans="2:3">
      <c r="B72" s="55"/>
      <c r="C72" s="170" t="s">
        <v>72</v>
      </c>
    </row>
    <row r="73" spans="2:3">
      <c r="B73" s="55"/>
      <c r="C73" s="170" t="s">
        <v>73</v>
      </c>
    </row>
    <row r="74" spans="2:3" ht="13.5" customHeight="1">
      <c r="B74" s="55"/>
      <c r="C74" s="170" t="s">
        <v>74</v>
      </c>
    </row>
    <row r="75" spans="2:3" ht="13.5" customHeight="1">
      <c r="B75" s="55"/>
      <c r="C75" s="170" t="s">
        <v>75</v>
      </c>
    </row>
    <row r="76" spans="2:3" ht="13.5" customHeight="1">
      <c r="B76" s="55"/>
      <c r="C76" s="170" t="s">
        <v>76</v>
      </c>
    </row>
    <row r="77" spans="2:3" ht="13.5" customHeight="1">
      <c r="B77" s="55"/>
      <c r="C77" s="275"/>
    </row>
    <row r="78" spans="2:3" ht="13.5" customHeight="1">
      <c r="B78" s="55"/>
      <c r="C78" s="324"/>
    </row>
    <row r="79" spans="2:3">
      <c r="B79" s="55"/>
      <c r="C79" s="275"/>
    </row>
    <row r="80" spans="2:3" ht="30.75" customHeight="1">
      <c r="B80" s="16"/>
      <c r="C80" s="321" t="s">
        <v>11</v>
      </c>
    </row>
    <row r="81" spans="2:3">
      <c r="B81" s="55"/>
      <c r="C81" s="171" t="s">
        <v>13</v>
      </c>
    </row>
    <row r="82" spans="2:3">
      <c r="B82" s="55"/>
      <c r="C82" s="170" t="s">
        <v>13</v>
      </c>
    </row>
    <row r="83" spans="2:3">
      <c r="B83" s="55"/>
      <c r="C83" s="171" t="s">
        <v>17</v>
      </c>
    </row>
    <row r="84" spans="2:3">
      <c r="B84" s="55"/>
      <c r="C84" s="170" t="s">
        <v>77</v>
      </c>
    </row>
    <row r="85" spans="2:3">
      <c r="B85" s="55"/>
      <c r="C85" s="170" t="s">
        <v>78</v>
      </c>
    </row>
    <row r="86" spans="2:3">
      <c r="B86" s="55"/>
      <c r="C86" s="170" t="s">
        <v>79</v>
      </c>
    </row>
    <row r="87" spans="2:3">
      <c r="B87" s="55"/>
      <c r="C87" s="170" t="s">
        <v>80</v>
      </c>
    </row>
    <row r="88" spans="2:3">
      <c r="B88" s="55"/>
      <c r="C88" s="170" t="s">
        <v>81</v>
      </c>
    </row>
    <row r="89" spans="2:3">
      <c r="B89" s="55"/>
      <c r="C89" s="171" t="s">
        <v>44</v>
      </c>
    </row>
    <row r="90" spans="2:3">
      <c r="B90" s="55"/>
      <c r="C90" s="170" t="s">
        <v>82</v>
      </c>
    </row>
    <row r="91" spans="2:3">
      <c r="B91" s="55"/>
      <c r="C91" s="170" t="s">
        <v>83</v>
      </c>
    </row>
    <row r="92" spans="2:3">
      <c r="B92" s="55"/>
      <c r="C92" s="171" t="s">
        <v>48</v>
      </c>
    </row>
    <row r="93" spans="2:3">
      <c r="B93" s="55"/>
      <c r="C93" s="170" t="s">
        <v>84</v>
      </c>
    </row>
    <row r="94" spans="2:3">
      <c r="B94" s="55"/>
      <c r="C94" s="170" t="s">
        <v>85</v>
      </c>
    </row>
    <row r="95" spans="2:3">
      <c r="B95" s="55"/>
      <c r="C95" s="170" t="s">
        <v>86</v>
      </c>
    </row>
    <row r="96" spans="2:3">
      <c r="B96" s="55"/>
      <c r="C96" s="170" t="s">
        <v>87</v>
      </c>
    </row>
    <row r="97" spans="2:3">
      <c r="B97" s="55"/>
      <c r="C97" s="171" t="s">
        <v>55</v>
      </c>
    </row>
    <row r="98" spans="2:3">
      <c r="B98" s="55"/>
      <c r="C98" s="170" t="s">
        <v>88</v>
      </c>
    </row>
    <row r="99" spans="2:3">
      <c r="B99" s="55"/>
      <c r="C99" s="171" t="s">
        <v>62</v>
      </c>
    </row>
    <row r="100" spans="2:3">
      <c r="B100" s="55"/>
      <c r="C100" s="170" t="s">
        <v>89</v>
      </c>
    </row>
    <row r="101" spans="2:3">
      <c r="B101" s="55"/>
      <c r="C101" s="171" t="s">
        <v>90</v>
      </c>
    </row>
    <row r="102" spans="2:3">
      <c r="B102" s="55"/>
      <c r="C102" s="170" t="s">
        <v>91</v>
      </c>
    </row>
    <row r="103" spans="2:3">
      <c r="B103" s="55"/>
      <c r="C103" s="171" t="s">
        <v>69</v>
      </c>
    </row>
    <row r="104" spans="2:3">
      <c r="B104" s="55"/>
      <c r="C104" s="170" t="s">
        <v>92</v>
      </c>
    </row>
    <row r="105" spans="2:3">
      <c r="B105" s="55"/>
      <c r="C105" s="170" t="s">
        <v>93</v>
      </c>
    </row>
    <row r="106" spans="2:3">
      <c r="B106" s="55"/>
      <c r="C106" s="171" t="s">
        <v>71</v>
      </c>
    </row>
    <row r="107" spans="2:3">
      <c r="B107" s="55"/>
      <c r="C107" s="170" t="s">
        <v>94</v>
      </c>
    </row>
    <row r="108" spans="2:3">
      <c r="B108" s="55"/>
      <c r="C108" s="170" t="s">
        <v>95</v>
      </c>
    </row>
    <row r="109" spans="2:3">
      <c r="B109" s="55"/>
      <c r="C109" s="170" t="s">
        <v>96</v>
      </c>
    </row>
    <row r="110" spans="2:3">
      <c r="C110" s="170" t="s">
        <v>97</v>
      </c>
    </row>
    <row r="111" spans="2:3">
      <c r="C111" s="170" t="s">
        <v>98</v>
      </c>
    </row>
    <row r="112" spans="2:3">
      <c r="C112" s="290"/>
    </row>
    <row r="113" spans="3:3">
      <c r="C113" s="322"/>
    </row>
    <row r="114" spans="3:3">
      <c r="C114" s="323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C10" sqref="C10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ÍNDICE</v>
      </c>
    </row>
    <row r="2" spans="1:25">
      <c r="A2" s="217"/>
      <c r="B2" s="217" t="s">
        <v>8</v>
      </c>
      <c r="C2" s="217"/>
      <c r="D2" s="217">
        <v>1</v>
      </c>
      <c r="G2" s="183"/>
    </row>
    <row r="3" spans="1:25" s="179" customFormat="1" ht="20.100000000000001" customHeight="1">
      <c r="A3" s="217" t="str">
        <f>+Q1_Consolidado!C2</f>
        <v>QUADRO I - Execução orçamental consolidada (janeiro-novembro)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QUADRO II - Execução orçamental do Gov. Regional (janeiro-novembro)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QUADRO III - Execução orçamental do Gov. Regional (novembro)</v>
      </c>
      <c r="B5" s="217"/>
      <c r="C5" s="217"/>
      <c r="D5" s="217"/>
    </row>
    <row r="6" spans="1:25" s="179" customFormat="1" ht="20.100000000000001" customHeight="1">
      <c r="A6" s="269" t="str">
        <f>+'Q4_ R_fiscal'!C2</f>
        <v>QUADRO IV - Execução orçamental da receita fiscal do Gov. Reg. (janeiro-novembro)</v>
      </c>
      <c r="B6" s="217"/>
      <c r="C6" s="217"/>
      <c r="D6" s="217"/>
    </row>
    <row r="7" spans="1:25" s="179" customFormat="1" ht="20.100000000000001" customHeight="1">
      <c r="A7" s="269" t="str">
        <f>+Q5_R_n_fiscal!C2</f>
        <v>QUADRO V - Execução orçamental da receita não fiscal do Gov. Reg. (janeiro-novembro)</v>
      </c>
      <c r="B7" s="217"/>
      <c r="C7" s="217"/>
      <c r="D7" s="217"/>
    </row>
    <row r="8" spans="1:25" s="179" customFormat="1" ht="20.100000000000001" customHeight="1">
      <c r="A8" s="269" t="str">
        <f>+'Q6_D_Est ECO'!C2</f>
        <v>QUADRO VI - Execução orçamental das despesas do Governo Regional (janeiro-novembro)</v>
      </c>
      <c r="B8"/>
      <c r="C8"/>
      <c r="D8"/>
    </row>
    <row r="9" spans="1:25" s="179" customFormat="1" ht="20.100000000000001" customHeight="1">
      <c r="A9" s="269" t="str">
        <f>+Q7_D_Est_Func!C2</f>
        <v>QUADRO VII - Despesa do Governo Regional, por classificação funcional (janeiro-novembro)</v>
      </c>
      <c r="B9" s="217"/>
      <c r="C9" s="217"/>
      <c r="D9" s="217"/>
    </row>
    <row r="10" spans="1:25" s="179" customFormat="1" ht="20.100000000000001" customHeight="1">
      <c r="A10" s="269" t="str">
        <f>+Q8_D_Est_Org!C2</f>
        <v>QUADRO VIII - Execução orçamental por classificação cruzada orgânica e económica (janeiro-novembro)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QUADRO IX - Saldo Global do Subsetor - EPR (janeiro-novembro)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QUADRO X - Execução orçamental dos Serviços e Fundos Autónomos e EPR (janeiro-novembro)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QUADRO XI - Execução orçamental dos Serviços e Fundos Autónomos e EPR (janeiro-novembro)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QUADRO XII - Execução orçamental dos Serviços e Fundos Autónomos e EPR (novembro)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QUADRO XIII - Contas a pagar, da Administração Regional, no final de novembro de 2023 (valores acumulados)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QUADRO XIV - Contas a pagar, do Governo Regional, no final de novembro de 2023 (valores acumulados)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QUADRO XV - Contas a pagar, dos Serviços e Fundos Autónomos, no final de novembro de 2023 (valores acumulados)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QUADRO XVI - Contas a pagar, das Entidades Públicas Reclassseicadas, no final de novembro de 2023 (valores acumulados)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'!C80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5"/>
      <c r="B22" s="325"/>
      <c r="C22" s="325"/>
      <c r="D22" s="325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80" display="'Pagamentos_Atraso '!B80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K19" sqref="K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(janeiro-novembro)","TABLE I - Consolidated budget execution (january-november)")</f>
        <v>QUADRO I - Execução orçamental consolidada (janeiro-novembro)</v>
      </c>
      <c r="D2" s="41"/>
      <c r="E2" s="41"/>
      <c r="F2" s="41"/>
      <c r="G2" s="41"/>
      <c r="H2" s="41" t="str">
        <f>+IF(Índice!$D$2=1,"€ Milhares","€ Thousands")</f>
        <v>€ Milhares</v>
      </c>
      <c r="J2" s="178" t="str">
        <f>+IF(Índice!$D$2=1,"índice","Index")</f>
        <v>índice</v>
      </c>
    </row>
    <row r="3" spans="1:10" ht="30.75" customHeight="1">
      <c r="C3" s="126"/>
      <c r="D3" s="127" t="str">
        <f>+IF(Índice!$D$2=1,"GR","RG")</f>
        <v>GR</v>
      </c>
      <c r="E3" s="127" t="str">
        <f>+IF(Índice!$D$2=1,"SFA","ASF")</f>
        <v>SFA</v>
      </c>
      <c r="F3" s="127" t="str">
        <f>+IF(Índice!$D$2=1,"EPR","RPE")</f>
        <v>EPR</v>
      </c>
      <c r="G3" s="127" t="str">
        <f>+IF(Índice!$D$2=1,"Saldo
consolidado
2023","Consolidated balance")</f>
        <v>Saldo
consolidado
2023</v>
      </c>
      <c r="H3" s="131" t="str">
        <f>+IF(Índice!$D$2=1,"VH (%)","HV (%)")</f>
        <v>VH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Receita corrente</v>
      </c>
      <c r="D5" s="57">
        <v>1254279.50966</v>
      </c>
      <c r="E5" s="57">
        <v>456126.63900999998</v>
      </c>
      <c r="F5" s="57">
        <v>321072.12805000006</v>
      </c>
      <c r="G5" s="57">
        <v>1355133.9595699999</v>
      </c>
      <c r="H5" s="57">
        <v>17.653609579832597</v>
      </c>
    </row>
    <row r="6" spans="1:10" ht="11.25" customHeight="1">
      <c r="C6" s="68" t="str">
        <f>+IF(Índice!$D$2=1,"Impostos diretos","Direct taxes")</f>
        <v>Impostos diretos</v>
      </c>
      <c r="D6" s="56">
        <v>376188.36986000004</v>
      </c>
      <c r="E6" s="56">
        <v>0</v>
      </c>
      <c r="F6" s="56">
        <v>0</v>
      </c>
      <c r="G6" s="56">
        <v>376188.36986000004</v>
      </c>
      <c r="H6" s="56">
        <v>36.096755020549651</v>
      </c>
    </row>
    <row r="7" spans="1:10">
      <c r="C7" s="68" t="str">
        <f>+IF(Índice!$D$2=1,"Impostos indiretos","Indirect taxes")</f>
        <v>Impostos indiretos</v>
      </c>
      <c r="D7" s="56">
        <v>642606.36833999993</v>
      </c>
      <c r="E7" s="56">
        <v>0</v>
      </c>
      <c r="F7" s="56">
        <v>0</v>
      </c>
      <c r="G7" s="56">
        <v>642606.36833999993</v>
      </c>
      <c r="H7" s="56">
        <v>11.084686468096727</v>
      </c>
    </row>
    <row r="8" spans="1:10">
      <c r="C8" s="68" t="str">
        <f>+IF(Índice!$D$2=1,"Contribuições de Segurança Social","Social security contributions")</f>
        <v>Contribuições de Segurança Social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Outras receitas correntes</v>
      </c>
      <c r="D9" s="56">
        <v>235484.77145999996</v>
      </c>
      <c r="E9" s="56">
        <v>456126.63900999998</v>
      </c>
      <c r="F9" s="56">
        <v>321072.12805000006</v>
      </c>
      <c r="G9" s="56">
        <v>324521.71663999988</v>
      </c>
      <c r="H9" s="56">
        <v>10.594452625784513</v>
      </c>
    </row>
    <row r="10" spans="1:10">
      <c r="C10" s="69" t="str">
        <f>+IF(Índice!$D$2=1,"Transferências correntes","Current transfers")</f>
        <v>Transferências correntes</v>
      </c>
      <c r="D10" s="56">
        <v>195313.53129999997</v>
      </c>
      <c r="E10" s="56">
        <v>447479.79442999995</v>
      </c>
      <c r="F10" s="56">
        <v>282349.12968000007</v>
      </c>
      <c r="G10" s="56">
        <v>236980.63352999988</v>
      </c>
      <c r="H10" s="56">
        <v>9.8143795724979999</v>
      </c>
    </row>
    <row r="11" spans="1:10">
      <c r="C11" s="268" t="str">
        <f>+IF(Índice!$D$2=1,"(das quais: transferências de outros subsetores das AP)","(of which: from other PA sub-sectors)")</f>
        <v>(das quais: transferências de outros subsetores das AP)</v>
      </c>
      <c r="D11" s="56">
        <v>194370.30309999999</v>
      </c>
      <c r="E11" s="56">
        <v>1141.6948399999999</v>
      </c>
      <c r="F11" s="56">
        <v>1098.1893299999997</v>
      </c>
      <c r="G11" s="56">
        <v>196610.18726999999</v>
      </c>
      <c r="H11" s="56">
        <v>4.4659037591945339</v>
      </c>
    </row>
    <row r="12" spans="1:10">
      <c r="C12" s="268" t="str">
        <f>+IF(Índice!$D$2=1,"(das quais: transf. de Subsetores da APR)","(of which: from RPA sub-sectors)")</f>
        <v>(das quais: transf. de Subsetores da APR)</v>
      </c>
      <c r="D12" s="56">
        <v>21.790240000000001</v>
      </c>
      <c r="E12" s="56">
        <v>409574.25840000005</v>
      </c>
      <c r="F12" s="56">
        <v>278565.77324000001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Diferenças de consolidação</v>
      </c>
      <c r="D13" s="56">
        <v>0</v>
      </c>
      <c r="E13" s="56">
        <v>0</v>
      </c>
      <c r="F13" s="56">
        <v>0</v>
      </c>
      <c r="G13" s="56">
        <v>11817.504730000206</v>
      </c>
      <c r="H13" s="56">
        <v>0</v>
      </c>
    </row>
    <row r="14" spans="1:10">
      <c r="C14" s="57" t="str">
        <f>+IF(Índice!$D$2=1,"Receita de capital","Capital revenue")</f>
        <v>Receita de capital</v>
      </c>
      <c r="D14" s="57">
        <v>75776.029670000018</v>
      </c>
      <c r="E14" s="57">
        <v>25410.807349999999</v>
      </c>
      <c r="F14" s="57">
        <v>29788.181049999992</v>
      </c>
      <c r="G14" s="57">
        <v>102735.57915000002</v>
      </c>
      <c r="H14" s="57">
        <v>-27.955472572596264</v>
      </c>
    </row>
    <row r="15" spans="1:10">
      <c r="C15" s="68" t="str">
        <f>+IF(Índice!$D$2=1,"Venda de bens de investimento","Sale of investment goods")</f>
        <v>Venda de bens de investimento</v>
      </c>
      <c r="D15" s="56">
        <v>7634.4390199999998</v>
      </c>
      <c r="E15" s="56">
        <v>0</v>
      </c>
      <c r="F15" s="56">
        <v>525.92697999999996</v>
      </c>
      <c r="G15" s="56">
        <v>8160.366</v>
      </c>
      <c r="H15" s="56">
        <v>73.542436777641413</v>
      </c>
    </row>
    <row r="16" spans="1:10" ht="11.25" customHeight="1">
      <c r="C16" s="68" t="str">
        <f>+IF(Índice!$D$2=1,"Transferências capital","Capital transfers")</f>
        <v>Transferências capital</v>
      </c>
      <c r="D16" s="56">
        <v>64320.403160000002</v>
      </c>
      <c r="E16" s="56">
        <v>25294.997939999997</v>
      </c>
      <c r="F16" s="56">
        <v>29219.233679999994</v>
      </c>
      <c r="G16" s="56">
        <v>90529.537209999995</v>
      </c>
      <c r="H16" s="56">
        <v>-28.76909515513303</v>
      </c>
    </row>
    <row r="17" spans="3:8">
      <c r="C17" s="69" t="str">
        <f>+IF(Índice!$D$2=1,"(das quais: transferências de outros subsetores das AP)","(of which: from other PA sub-sectors)")</f>
        <v>(das quais: transferências de outros subsetores das AP)</v>
      </c>
      <c r="D17" s="56">
        <v>52397.159340000006</v>
      </c>
      <c r="E17" s="56">
        <v>595.84802999999999</v>
      </c>
      <c r="F17" s="56">
        <v>0</v>
      </c>
      <c r="G17" s="56">
        <v>52993.007370000007</v>
      </c>
      <c r="H17" s="56">
        <v>9.5976056148064472</v>
      </c>
    </row>
    <row r="18" spans="3:8">
      <c r="C18" s="69" t="str">
        <f>+IF(Índice!$D$2=1,"(das quais: transf. de Subsetores da APR)","(of which: from RPA sub-sectors)")</f>
        <v>(das quais: transf. de Subsetores da APR)</v>
      </c>
      <c r="D18" s="56">
        <v>0</v>
      </c>
      <c r="E18" s="56">
        <v>13621.345370000001</v>
      </c>
      <c r="F18" s="56">
        <v>14683.752200000001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Diferenças de consolidação</v>
      </c>
      <c r="D19" s="56">
        <v>0</v>
      </c>
      <c r="E19" s="56">
        <v>0</v>
      </c>
      <c r="F19" s="56">
        <v>0</v>
      </c>
      <c r="G19" s="56">
        <v>65.658650000012287</v>
      </c>
      <c r="H19" s="56">
        <v>0</v>
      </c>
    </row>
    <row r="20" spans="3:8">
      <c r="C20" s="57" t="str">
        <f>+IF(Índice!$D$2=1,"Receita efetiva","Effective revenue")</f>
        <v>Receita efetiva</v>
      </c>
      <c r="D20" s="57">
        <v>1330055.5393300001</v>
      </c>
      <c r="E20" s="57">
        <v>481537.44636</v>
      </c>
      <c r="F20" s="57">
        <v>350860.30910000007</v>
      </c>
      <c r="G20" s="57">
        <v>1457869.5387200001</v>
      </c>
      <c r="H20" s="57">
        <v>12.628994978160634</v>
      </c>
    </row>
    <row r="21" spans="3:8" ht="20.25" customHeight="1">
      <c r="C21" s="220" t="str">
        <f>+IF(Índice!$D$2=1,"Despesa corrente","Current expenditure")</f>
        <v>Despesa corrente</v>
      </c>
      <c r="D21" s="220">
        <v>1164296.2885999999</v>
      </c>
      <c r="E21" s="220">
        <v>446133.81522999995</v>
      </c>
      <c r="F21" s="220">
        <v>321487.45398999989</v>
      </c>
      <c r="G21" s="220">
        <v>1255573.2217499998</v>
      </c>
      <c r="H21" s="220">
        <v>7.2650409132979821</v>
      </c>
    </row>
    <row r="22" spans="3:8" ht="10.5" customHeight="1">
      <c r="C22" s="68" t="str">
        <f>+IF(Índice!$D$2=1,"Consumo público","Public consumption")</f>
        <v>Consumo público</v>
      </c>
      <c r="D22" s="56">
        <v>560219.93492000038</v>
      </c>
      <c r="E22" s="56">
        <v>145116.19953000001</v>
      </c>
      <c r="F22" s="56">
        <v>303444.7313499999</v>
      </c>
      <c r="G22" s="56">
        <v>1008780.8658000003</v>
      </c>
      <c r="H22" s="56">
        <v>9.2395853271789452</v>
      </c>
    </row>
    <row r="23" spans="3:8">
      <c r="C23" s="69" t="str">
        <f>+IF(Índice!$D$2=1,"Despesas com o pessoal","Compensation of employees")</f>
        <v>Despesas com o pessoal</v>
      </c>
      <c r="D23" s="56">
        <v>407387.95296000008</v>
      </c>
      <c r="E23" s="56">
        <v>48061.204099999995</v>
      </c>
      <c r="F23" s="56">
        <v>235708.64019999982</v>
      </c>
      <c r="G23" s="56">
        <v>691157.7972599999</v>
      </c>
      <c r="H23" s="56">
        <v>10.583553502949815</v>
      </c>
    </row>
    <row r="24" spans="3:8">
      <c r="C24" s="69" t="str">
        <f>+IF(Índice!$D$2=1,"Aquisição de bens e serviços e outras desp. Correntes","Purchase of goods and services, and other current expenditures")</f>
        <v>Aquisição de bens e serviços e outras desp. Correntes</v>
      </c>
      <c r="D24" s="56">
        <v>152831.98196000027</v>
      </c>
      <c r="E24" s="56">
        <v>97054.99543000001</v>
      </c>
      <c r="F24" s="56">
        <v>67736.091150000095</v>
      </c>
      <c r="G24" s="56">
        <v>317623.06854000036</v>
      </c>
      <c r="H24" s="56">
        <v>6.4250450941591764</v>
      </c>
    </row>
    <row r="25" spans="3:8">
      <c r="C25" s="68" t="str">
        <f>+IF(Índice!$D$2=1,"Subsídios","Subsidies")</f>
        <v>Subsídios</v>
      </c>
      <c r="D25" s="56">
        <v>19473.053340000002</v>
      </c>
      <c r="E25" s="56">
        <v>5048.4606199999989</v>
      </c>
      <c r="F25" s="56">
        <v>0.80500000000000005</v>
      </c>
      <c r="G25" s="56">
        <v>24522.300040000002</v>
      </c>
      <c r="H25" s="56">
        <v>-19.59504470566231</v>
      </c>
    </row>
    <row r="26" spans="3:8">
      <c r="C26" s="68" t="str">
        <f>+IF(Índice!$D$2=1,"Juros e outros encargos","Interests and other charges")</f>
        <v>Juros e outros encargos</v>
      </c>
      <c r="D26" s="56">
        <v>100503.12182000003</v>
      </c>
      <c r="E26" s="56">
        <v>142.86688000000001</v>
      </c>
      <c r="F26" s="56">
        <v>6160.634869999998</v>
      </c>
      <c r="G26" s="56">
        <v>106806.62357000003</v>
      </c>
      <c r="H26" s="56">
        <v>16.246977350667358</v>
      </c>
    </row>
    <row r="27" spans="3:8">
      <c r="C27" s="68" t="str">
        <f>+IF(Índice!$D$2=1,"Transferências correntes","Current transfers")</f>
        <v>Transferências correntes</v>
      </c>
      <c r="D27" s="56">
        <v>484100.17851999949</v>
      </c>
      <c r="E27" s="56">
        <v>295826.28819999995</v>
      </c>
      <c r="F27" s="56">
        <v>11881.282770000003</v>
      </c>
      <c r="G27" s="56">
        <v>115463.43233999959</v>
      </c>
      <c r="H27" s="56">
        <v>-7.4060595011389392</v>
      </c>
    </row>
    <row r="28" spans="3:8">
      <c r="C28" s="69" t="str">
        <f>+IF(Índice!$D$2=1,"(das quais: transferências de outros subsetores das AP)","(of which: to other PA sub-sectors)")</f>
        <v>(das quais: transferências de outros subsetores das AP)</v>
      </c>
      <c r="D28" s="56">
        <v>230</v>
      </c>
      <c r="E28" s="56">
        <v>2111.5578100000002</v>
      </c>
      <c r="F28" s="56">
        <v>0</v>
      </c>
      <c r="G28" s="56">
        <v>2341.5578100000002</v>
      </c>
      <c r="H28" s="56">
        <v>17.929672347785221</v>
      </c>
    </row>
    <row r="29" spans="3:8">
      <c r="C29" s="69" t="str">
        <f>+IF(Índice!$D$2=1,"(das quais: transf. de Subsetores da APR)","(of which: to RPA sub-sectors)")</f>
        <v>(das quais: transf. de Subsetores da APR)</v>
      </c>
      <c r="D29" s="56">
        <v>410433.08611999988</v>
      </c>
      <c r="E29" s="56">
        <v>265859.74206999998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Diferenças de consolidação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Despesa de capital</v>
      </c>
      <c r="D31" s="57">
        <v>128465.86049999998</v>
      </c>
      <c r="E31" s="57">
        <v>23458.051170000006</v>
      </c>
      <c r="F31" s="57">
        <v>33057.147039999996</v>
      </c>
      <c r="G31" s="57">
        <v>156741.61979</v>
      </c>
      <c r="H31" s="57">
        <v>-18.061197847302136</v>
      </c>
    </row>
    <row r="32" spans="3:8">
      <c r="C32" s="68" t="str">
        <f>+IF(Índice!$D$2=1,"Investimento","Investment")</f>
        <v>Investimento</v>
      </c>
      <c r="D32" s="56">
        <v>87509.88787999998</v>
      </c>
      <c r="E32" s="56">
        <v>3980.8478800000007</v>
      </c>
      <c r="F32" s="56">
        <v>32734.460239999993</v>
      </c>
      <c r="G32" s="56">
        <v>124225.19599999997</v>
      </c>
      <c r="H32" s="56">
        <v>19.555473580660788</v>
      </c>
    </row>
    <row r="33" spans="3:8">
      <c r="C33" s="68" t="str">
        <f>+IF(Índice!$D$2=1,"Transferências capital","Capital transfers")</f>
        <v>Transferências capital</v>
      </c>
      <c r="D33" s="56">
        <v>40955.97262</v>
      </c>
      <c r="E33" s="56">
        <v>19468.947680000005</v>
      </c>
      <c r="F33" s="56">
        <v>322.68680000000001</v>
      </c>
      <c r="G33" s="56">
        <v>32508.168180000019</v>
      </c>
      <c r="H33" s="56">
        <v>-62.714235069721646</v>
      </c>
    </row>
    <row r="34" spans="3:8">
      <c r="C34" s="69" t="str">
        <f>+IF(Índice!$D$2=1,"(das quais: transferências de outros subsetores das AP)","(of which: to other PA sub-sectors)")</f>
        <v>(das quais: transferências de outros subsetores das AP)</v>
      </c>
      <c r="D34" s="56">
        <v>6688.9179399999994</v>
      </c>
      <c r="E34" s="56">
        <v>0</v>
      </c>
      <c r="F34" s="56">
        <v>0</v>
      </c>
      <c r="G34" s="56">
        <v>6688.9179399999994</v>
      </c>
      <c r="H34" s="56">
        <v>-16.239545951310276</v>
      </c>
    </row>
    <row r="35" spans="3:8">
      <c r="C35" s="69" t="str">
        <f>+IF(Índice!$D$2=1,"(das quais: transf. de Subsetores da APR)","(of which: to RPA sub-sectors)")</f>
        <v>(das quais: transf. de Subsetores da APR)</v>
      </c>
      <c r="D35" s="56">
        <v>28231.183309999989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Outras despesas de capital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Diferenças de consolidação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Despesa efetiva</v>
      </c>
      <c r="D38" s="86">
        <v>1292762.1491</v>
      </c>
      <c r="E38" s="86">
        <v>469591.8664</v>
      </c>
      <c r="F38" s="86">
        <v>354544.6010299999</v>
      </c>
      <c r="G38" s="86">
        <v>1412314.8415399997</v>
      </c>
      <c r="H38" s="86">
        <v>3.7075462884456734</v>
      </c>
    </row>
    <row r="39" spans="3:8" ht="17.25" customHeight="1">
      <c r="C39" s="138" t="str">
        <f>+IF(Índice!$D$2=1,"Saldo global","Overall balance")</f>
        <v>Saldo global</v>
      </c>
      <c r="D39" s="139">
        <v>37293.390230000019</v>
      </c>
      <c r="E39" s="139">
        <v>11945.579960000003</v>
      </c>
      <c r="F39" s="139">
        <v>-3684.2919299998321</v>
      </c>
      <c r="G39" s="139">
        <v>45554.697180000367</v>
      </c>
      <c r="H39" s="139">
        <v>167.56379304399056</v>
      </c>
    </row>
    <row r="40" spans="3:8">
      <c r="C40" s="87" t="str">
        <f>+IF(Índice!$D$2=1,"Por memória:","By memory:")</f>
        <v>Por memória:</v>
      </c>
    </row>
    <row r="41" spans="3:8">
      <c r="C41" s="68" t="str">
        <f>+IF(Índice!$D$2=1,"Saldo corrente","Current balance")</f>
        <v>Saldo corrente</v>
      </c>
      <c r="D41" s="19">
        <v>89983.221060000127</v>
      </c>
      <c r="E41" s="19">
        <v>9992.8237800000352</v>
      </c>
      <c r="F41" s="19">
        <v>-415.3259399998351</v>
      </c>
      <c r="G41" s="19">
        <v>99560.737820000155</v>
      </c>
      <c r="H41" s="19">
        <v>631.45109713804845</v>
      </c>
    </row>
    <row r="42" spans="3:8">
      <c r="C42" s="68" t="str">
        <f>+IF(Índice!$D$2=1,"Despesa corrente primária","Primary current expenditure")</f>
        <v>Despesa corrente primária</v>
      </c>
      <c r="D42" s="19">
        <v>1063793.1667799999</v>
      </c>
      <c r="E42" s="19">
        <v>445990.94834999996</v>
      </c>
      <c r="F42" s="19">
        <v>315326.81911999988</v>
      </c>
      <c r="G42" s="19">
        <v>1148766.5981799997</v>
      </c>
      <c r="H42" s="19">
        <v>6.4999656462635835</v>
      </c>
    </row>
    <row r="43" spans="3:8">
      <c r="C43" s="68" t="str">
        <f>+IF(Índice!$D$2=1,"Saldo corrente primário","Primary current balance")</f>
        <v>Saldo corrente primário</v>
      </c>
      <c r="D43" s="19">
        <v>190486.34288000013</v>
      </c>
      <c r="E43" s="19">
        <v>10135.690660000022</v>
      </c>
      <c r="F43" s="19">
        <v>5745.3089300001739</v>
      </c>
      <c r="G43" s="19">
        <v>206367.36139000021</v>
      </c>
      <c r="H43" s="19">
        <v>182.13345007240682</v>
      </c>
    </row>
    <row r="44" spans="3:8">
      <c r="C44" s="68" t="str">
        <f>+IF(Índice!$D$2=1,"Saldo de capital","Capital balance")</f>
        <v>Saldo de capital</v>
      </c>
      <c r="D44" s="19">
        <v>-52689.830829999963</v>
      </c>
      <c r="E44" s="19">
        <v>1952.756179999993</v>
      </c>
      <c r="F44" s="19">
        <v>-3268.9659900000042</v>
      </c>
      <c r="G44" s="19">
        <v>-54006.040639999977</v>
      </c>
      <c r="H44" s="19">
        <v>-10.915938182781515</v>
      </c>
    </row>
    <row r="45" spans="3:8">
      <c r="C45" s="68" t="str">
        <f t="array" ref="C45">+IF(Índice!$D$2=1,"Despesa primária","Primary expenditure")</f>
        <v>Despesa primária</v>
      </c>
      <c r="D45" s="19">
        <v>1192259.02728</v>
      </c>
      <c r="E45" s="19">
        <v>469448.99952000001</v>
      </c>
      <c r="F45" s="19">
        <v>348383.96615999989</v>
      </c>
      <c r="G45" s="19">
        <v>1305508.2179699996</v>
      </c>
      <c r="H45" s="19">
        <v>2.8003332947723392</v>
      </c>
    </row>
    <row r="46" spans="3:8">
      <c r="C46" s="221" t="str">
        <f>+IF(Índice!$D$2=1,"Saldo primário","Primary balance")</f>
        <v>Saldo primário</v>
      </c>
      <c r="D46" s="132">
        <v>137796.51205000002</v>
      </c>
      <c r="E46" s="132">
        <v>12088.44683999999</v>
      </c>
      <c r="F46" s="132">
        <v>2476.3429400001769</v>
      </c>
      <c r="G46" s="132">
        <v>152361.32075000042</v>
      </c>
      <c r="H46" s="132">
        <v>523.04419347466398</v>
      </c>
    </row>
    <row r="47" spans="3:8">
      <c r="C47" s="222" t="str">
        <f>+IF(Índice!$D$2=1,"Fonte: Secretaria Regional das Finanças","Source: Regional Finance Secretariat")</f>
        <v>Fonte: Secretaria Regional das Finanças</v>
      </c>
    </row>
    <row r="48" spans="3:8" ht="9" customHeight="1">
      <c r="C48" s="326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Nota: As Reposições Não Abatidas nos Pagamentos foram contabilizadas em Receitas de Capital, nos termos do Decreto-Lei n.º26/2002 de 14 de fevereiro</v>
      </c>
      <c r="D48" s="326"/>
      <c r="E48" s="326"/>
      <c r="F48" s="326"/>
      <c r="G48" s="326"/>
    </row>
    <row r="49" spans="3:7" ht="9" customHeight="1">
      <c r="C49" s="326"/>
      <c r="D49" s="326"/>
      <c r="E49" s="326"/>
      <c r="F49" s="326"/>
      <c r="G49" s="326"/>
    </row>
    <row r="50" spans="3:7" ht="9" customHeight="1">
      <c r="C50" s="326"/>
      <c r="D50" s="326"/>
      <c r="E50" s="326"/>
      <c r="F50" s="326"/>
      <c r="G50" s="326"/>
    </row>
    <row r="51" spans="3:7" ht="9" customHeight="1">
      <c r="C51" s="326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As transferências de outros subsetores das AP compreendem transferências da Administração Central, da Administração Local e da Segurança Social</v>
      </c>
      <c r="D51" s="326"/>
      <c r="E51" s="326"/>
      <c r="F51" s="326"/>
      <c r="G51" s="326"/>
    </row>
    <row r="52" spans="3:7" ht="9" customHeight="1">
      <c r="C52" s="326"/>
      <c r="D52" s="326"/>
      <c r="E52" s="326"/>
      <c r="F52" s="326"/>
      <c r="G52" s="326"/>
    </row>
    <row r="53" spans="3:7" ht="9" customHeight="1">
      <c r="C53" s="326"/>
      <c r="D53" s="326"/>
      <c r="E53" s="326"/>
      <c r="F53" s="326"/>
      <c r="G53" s="326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(janeiro-novembro)","TABLE II - Regional Gov. budget execution (january-november)")</f>
        <v>QUADRO II - Execução orçamental do Gov. Regional (janeiro-novembro)</v>
      </c>
      <c r="D2" s="224"/>
      <c r="E2" s="225"/>
      <c r="F2" s="49" t="str">
        <f>+IF(Índice!$D$2=1,"€ Milhares","€ Thousands")</f>
        <v>€ Milhares</v>
      </c>
      <c r="G2"/>
      <c r="H2" s="178" t="str">
        <f>+IF(Índice!$D$2=1,"índice","Index")</f>
        <v>índice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VH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Receita corrente</v>
      </c>
      <c r="D5" s="225">
        <v>1075405.4764999999</v>
      </c>
      <c r="E5" s="225">
        <v>1254279.50966</v>
      </c>
      <c r="F5" s="225">
        <v>16.633171121850808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Receitas fiscais</v>
      </c>
      <c r="D6" s="231">
        <v>854895.75371999992</v>
      </c>
      <c r="E6" s="231">
        <v>1018794.7382</v>
      </c>
      <c r="F6" s="231">
        <v>19.171809400948447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Impostos diretos</v>
      </c>
      <c r="D7" s="231">
        <v>276412.44628000003</v>
      </c>
      <c r="E7" s="231">
        <v>376188.36986000004</v>
      </c>
      <c r="F7" s="231">
        <v>36.096755020549651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Impostos indiretos</v>
      </c>
      <c r="D8" s="231">
        <v>578483.30743999989</v>
      </c>
      <c r="E8" s="231">
        <v>642606.36833999993</v>
      </c>
      <c r="F8" s="231">
        <v>11.084686468096727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Outras receitas correntes</v>
      </c>
      <c r="D9" s="231">
        <v>220509.72278000001</v>
      </c>
      <c r="E9" s="231">
        <v>235484.77145999999</v>
      </c>
      <c r="F9" s="231">
        <v>6.7911058483985265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Receita de capital</v>
      </c>
      <c r="D10" s="232">
        <v>97660.397769999996</v>
      </c>
      <c r="E10" s="232">
        <v>75776.029670000018</v>
      </c>
      <c r="F10" s="232">
        <v>-22.408641168490682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Receita efetiva</v>
      </c>
      <c r="D12" s="232">
        <v>1173065.8742699998</v>
      </c>
      <c r="E12" s="232">
        <v>1330055.5393300001</v>
      </c>
      <c r="F12" s="232">
        <v>13.382851594561561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Despesa corrente</v>
      </c>
      <c r="D14" s="232">
        <v>1082901.2101699994</v>
      </c>
      <c r="E14" s="232">
        <v>1164296.2886000001</v>
      </c>
      <c r="F14" s="232">
        <v>7.5163900146739016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Despesas com o pessoal</v>
      </c>
      <c r="D15" s="231">
        <v>376250.27257999964</v>
      </c>
      <c r="E15" s="231">
        <v>407387.95295999967</v>
      </c>
      <c r="F15" s="231">
        <v>8.2757894543131307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142813.52774999995</v>
      </c>
      <c r="E16" s="231">
        <v>151997.98733000027</v>
      </c>
      <c r="F16" s="231">
        <v>6.4310851532762614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Juros e outros encargos</v>
      </c>
      <c r="D17" s="231">
        <v>87454.48179999998</v>
      </c>
      <c r="E17" s="231">
        <v>100503.12182000003</v>
      </c>
      <c r="F17" s="231">
        <v>14.92049321136113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Transferências correntes</v>
      </c>
      <c r="D18" s="231">
        <v>452001.33314</v>
      </c>
      <c r="E18" s="231">
        <v>484100.17851999984</v>
      </c>
      <c r="F18" s="231">
        <v>7.1014935192807771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Administrações Públicas</v>
      </c>
      <c r="D19" s="231">
        <v>372458.03850000002</v>
      </c>
      <c r="E19" s="231">
        <v>410663.08611999988</v>
      </c>
      <c r="F19" s="231">
        <v>10.257544117952989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Outras</v>
      </c>
      <c r="D20" s="231">
        <v>79543.294639999978</v>
      </c>
      <c r="E20" s="231">
        <v>73437.092399999965</v>
      </c>
      <c r="F20" s="231">
        <v>-7.6765769731260036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Subsídios</v>
      </c>
      <c r="D21" s="231">
        <v>23466.772170000004</v>
      </c>
      <c r="E21" s="231">
        <v>19473.053340000002</v>
      </c>
      <c r="F21" s="231">
        <v>-17.018611682375241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Outras despesas correntes</v>
      </c>
      <c r="D22" s="231">
        <v>914.82272999999986</v>
      </c>
      <c r="E22" s="231">
        <v>833.99463000000026</v>
      </c>
      <c r="F22" s="231">
        <v>-8.8353838781421228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Despesa de capital</v>
      </c>
      <c r="D23" s="232">
        <v>179561.2625000001</v>
      </c>
      <c r="E23" s="232">
        <v>128465.86049999997</v>
      </c>
      <c r="F23" s="232">
        <v>-28.45569322057986</v>
      </c>
      <c r="G23"/>
      <c r="H23" s="23"/>
      <c r="Z23" s="7"/>
      <c r="AC23" s="8"/>
    </row>
    <row r="24" spans="3:29" ht="12.75">
      <c r="C24" s="230" t="str">
        <f>+IF(Índice!$D$2=1,"Investimento","Investment")</f>
        <v>Investimento</v>
      </c>
      <c r="D24" s="231">
        <v>88110.774390000122</v>
      </c>
      <c r="E24" s="231">
        <v>87509.88787999998</v>
      </c>
      <c r="F24" s="231">
        <v>-0.68196711941319599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Transferências capital</v>
      </c>
      <c r="D25" s="231">
        <v>91450.488109999977</v>
      </c>
      <c r="E25" s="231">
        <v>40955.972619999986</v>
      </c>
      <c r="F25" s="231">
        <v>-55.215140491391743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Administrações Públicas</v>
      </c>
      <c r="D26" s="231">
        <v>81457.243499999982</v>
      </c>
      <c r="E26" s="231">
        <v>34920.101249999985</v>
      </c>
      <c r="F26" s="231">
        <v>-57.130759955067724</v>
      </c>
      <c r="G26"/>
      <c r="H26" s="23"/>
      <c r="Z26" s="7"/>
      <c r="AC26" s="8"/>
    </row>
    <row r="27" spans="3:29" ht="12.75">
      <c r="C27" s="233" t="str">
        <f>+IF(Índice!$D$2=1,"Outras","Other")</f>
        <v>Outras</v>
      </c>
      <c r="D27" s="231">
        <v>9993.2446099999979</v>
      </c>
      <c r="E27" s="231">
        <v>6035.8713699999998</v>
      </c>
      <c r="F27" s="231">
        <v>-39.600484071409106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Despesa efetiva</v>
      </c>
      <c r="D29" s="235">
        <v>1262462.4726699996</v>
      </c>
      <c r="E29" s="235">
        <v>1292762.1491</v>
      </c>
      <c r="F29" s="235">
        <v>2.4000457111346352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Saldo global</v>
      </c>
      <c r="D31" s="139">
        <v>-89396.598399999624</v>
      </c>
      <c r="E31" s="139">
        <v>37293.390229999946</v>
      </c>
      <c r="F31" s="139">
        <v>141.71678889070583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Por memória: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Saldo corrente</v>
      </c>
      <c r="D33" s="19">
        <v>-7495.7336699995212</v>
      </c>
      <c r="E33" s="19">
        <v>89983.221059999894</v>
      </c>
      <c r="F33" s="19">
        <v>1300.4591547875211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Saldo de capital</v>
      </c>
      <c r="D34" s="19">
        <v>-81900.864730000103</v>
      </c>
      <c r="E34" s="19">
        <v>-52689.830829999948</v>
      </c>
      <c r="F34" s="19">
        <v>35.666331480502947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Saldo primário</v>
      </c>
      <c r="D35" s="19">
        <v>-1942.1165999996447</v>
      </c>
      <c r="E35" s="19">
        <v>137796.51204999996</v>
      </c>
      <c r="F35" s="19">
        <v>7195.171940244225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Ativos financeiros líquidos de reembolsos</v>
      </c>
      <c r="D36" s="106">
        <v>37779.404479999997</v>
      </c>
      <c r="E36" s="106">
        <v>24512.518009999996</v>
      </c>
      <c r="F36" s="106">
        <v>-35.116716773614968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Fonte: Secretaria Regional das Finanças</v>
      </c>
      <c r="D37" s="18"/>
      <c r="E37" s="18"/>
      <c r="F37" s="18"/>
      <c r="G37"/>
      <c r="H37" s="20"/>
    </row>
    <row r="38" spans="3:29" ht="33.75" customHeight="1">
      <c r="C38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8" s="327"/>
      <c r="E38" s="327"/>
      <c r="F38" s="327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K19" sqref="K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(novembro)","TABLE III - Regional Gov. budget execution (november)")</f>
        <v>QUADRO III - Execução orçamental do Gov. Regional (novembro)</v>
      </c>
      <c r="D2" s="224"/>
      <c r="E2" s="225"/>
      <c r="F2" s="49" t="str">
        <f>+IF(Índice!$D$2=1,"€ Milhares","€ Thousands")</f>
        <v>€ Milhares</v>
      </c>
      <c r="G2"/>
      <c r="H2" s="291" t="str">
        <f>+IF(Índice!$D$2=1,"índice","Index")</f>
        <v>índice</v>
      </c>
      <c r="K2" s="18"/>
      <c r="Z2" s="7"/>
      <c r="AC2" s="18"/>
    </row>
    <row r="3" spans="2:29" ht="35.1" customHeight="1">
      <c r="C3" s="292"/>
      <c r="D3" s="293">
        <v>2022</v>
      </c>
      <c r="E3" s="293">
        <v>2023</v>
      </c>
      <c r="F3" s="293" t="s">
        <v>107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Receita corrente</v>
      </c>
      <c r="D5" s="225">
        <v>93139.038490000006</v>
      </c>
      <c r="E5" s="225">
        <v>96920.94215000009</v>
      </c>
      <c r="F5" s="225">
        <v>4.0604924866237901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Receitas fiscais</v>
      </c>
      <c r="D6" s="231">
        <v>83572.781790000052</v>
      </c>
      <c r="E6" s="231">
        <v>87094.128250000067</v>
      </c>
      <c r="F6" s="231">
        <v>4.2135087340378075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Impostos diretos</v>
      </c>
      <c r="D7" s="231">
        <v>25397.976400000065</v>
      </c>
      <c r="E7" s="231">
        <v>25827.43451000005</v>
      </c>
      <c r="F7" s="231">
        <v>1.690914674603694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Impostos indiretos</v>
      </c>
      <c r="D8" s="231">
        <v>58174.805389999987</v>
      </c>
      <c r="E8" s="231">
        <v>61266.69374000001</v>
      </c>
      <c r="F8" s="231">
        <v>5.3148237098039397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Outras receitas correntes</v>
      </c>
      <c r="D9" s="231">
        <v>9566.2566999999581</v>
      </c>
      <c r="E9" s="231">
        <v>9826.813900000021</v>
      </c>
      <c r="F9" s="231">
        <v>2.7237111460751917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Receita de capital</v>
      </c>
      <c r="D10" s="232">
        <v>5830.5469500000036</v>
      </c>
      <c r="E10" s="232">
        <v>914.81437000001074</v>
      </c>
      <c r="F10" s="232">
        <v>-84.309973355072458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Receita efetiva</v>
      </c>
      <c r="D12" s="232">
        <v>98969.58544000001</v>
      </c>
      <c r="E12" s="232">
        <v>97835.756520000097</v>
      </c>
      <c r="F12" s="232">
        <v>-1.1456336964120073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Despesa corrente</v>
      </c>
      <c r="D14" s="232">
        <v>125929.33297999889</v>
      </c>
      <c r="E14" s="232">
        <v>133626.08527000019</v>
      </c>
      <c r="F14" s="232">
        <v>6.1119614531935706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Despesas com o pessoal</v>
      </c>
      <c r="D15" s="231">
        <v>52489.981599999068</v>
      </c>
      <c r="E15" s="231">
        <v>56445.899699999987</v>
      </c>
      <c r="F15" s="231">
        <v>7.5365202642802887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Aquisição de bens e serviços</v>
      </c>
      <c r="D16" s="231">
        <v>11474.998839999944</v>
      </c>
      <c r="E16" s="231">
        <v>12456.29878000003</v>
      </c>
      <c r="F16" s="231">
        <v>8.5516343285320104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Juros e outros encargos</v>
      </c>
      <c r="D17" s="231">
        <v>12752.583449999987</v>
      </c>
      <c r="E17" s="231">
        <v>14011.38721999997</v>
      </c>
      <c r="F17" s="231">
        <v>9.8709706541852285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Transferências correntes</v>
      </c>
      <c r="D18" s="231">
        <v>46409.225369999884</v>
      </c>
      <c r="E18" s="231">
        <v>49562.0472300002</v>
      </c>
      <c r="F18" s="231">
        <v>6.793523991974193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Subsídios</v>
      </c>
      <c r="D19" s="231">
        <v>2604.4953800000026</v>
      </c>
      <c r="E19" s="231">
        <v>1099.9539000000022</v>
      </c>
      <c r="F19" s="231">
        <v>-57.767101126514532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Outras despesas correntes</v>
      </c>
      <c r="D20" s="231">
        <v>198.04833999999985</v>
      </c>
      <c r="E20" s="231">
        <v>50.498440000000059</v>
      </c>
      <c r="F20" s="231">
        <v>-74.501962500670246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Despesa de capital</v>
      </c>
      <c r="D21" s="232">
        <v>26032.772090000035</v>
      </c>
      <c r="E21" s="232">
        <v>17840.977329999998</v>
      </c>
      <c r="F21" s="232">
        <v>-31.467239568953744</v>
      </c>
      <c r="G21"/>
      <c r="H21" s="23"/>
      <c r="Z21" s="7"/>
      <c r="AC21" s="18"/>
    </row>
    <row r="22" spans="3:29" ht="12.75">
      <c r="C22" s="230" t="str">
        <f>+IF(Índice!$D$2=1,"Investimento","Investment")</f>
        <v>Investimento</v>
      </c>
      <c r="D22" s="231">
        <v>15149.507520000056</v>
      </c>
      <c r="E22" s="231">
        <v>14584.716129999995</v>
      </c>
      <c r="F22" s="231">
        <v>-3.7281171632439825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Transferências capital</v>
      </c>
      <c r="D23" s="231">
        <v>10883.264569999978</v>
      </c>
      <c r="E23" s="231">
        <v>3256.2612000000031</v>
      </c>
      <c r="F23" s="231">
        <v>-70.080106212101299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Despesa efetiva</v>
      </c>
      <c r="D25" s="300">
        <v>151962.10506999891</v>
      </c>
      <c r="E25" s="300">
        <v>151467.06260000018</v>
      </c>
      <c r="F25" s="300">
        <v>-0.32576705210203283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Saldo global</v>
      </c>
      <c r="D27" s="287">
        <v>-52992.519629998904</v>
      </c>
      <c r="E27" s="287">
        <v>-53631.306080000082</v>
      </c>
      <c r="F27" s="287">
        <v>-1.2054275857446894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Por memória: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Saldo corrente</v>
      </c>
      <c r="D29" s="19">
        <v>-32790.29448999888</v>
      </c>
      <c r="E29" s="19">
        <v>-36705.143120000095</v>
      </c>
      <c r="F29" s="19">
        <v>-11.939046876188474</v>
      </c>
      <c r="H29" s="26"/>
      <c r="K29" s="18"/>
      <c r="Z29" s="7"/>
      <c r="AC29" s="18"/>
    </row>
    <row r="30" spans="3:29">
      <c r="C30" s="69" t="str">
        <f>+IF(Índice!$D$2=1,"Saldo de capital","Capital balance")</f>
        <v>Saldo de capital</v>
      </c>
      <c r="D30" s="19">
        <v>-20202.225140000031</v>
      </c>
      <c r="E30" s="19">
        <v>-16926.162959999987</v>
      </c>
      <c r="F30" s="19">
        <v>16.216343285440882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Saldo primário</v>
      </c>
      <c r="D31" s="19">
        <v>-40239.936179998913</v>
      </c>
      <c r="E31" s="19">
        <v>-39619.918860000114</v>
      </c>
      <c r="F31" s="19">
        <v>1.5408009526291844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Fonte: Secretaria Regional das Finanças</v>
      </c>
      <c r="D32" s="101"/>
      <c r="E32" s="101"/>
      <c r="F32" s="101"/>
      <c r="G32"/>
      <c r="H32" s="302"/>
    </row>
    <row r="33" spans="3:8" ht="27" customHeight="1">
      <c r="C33" s="327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A execução calculada tem por referência o orçamento retificado, à data, após os respetivos reforços e anulações.</v>
      </c>
      <c r="D33" s="327"/>
      <c r="E33" s="327"/>
      <c r="F33" s="327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(janeiro-novembro)","TABLE IV - Regional Gov. tax revenue budget execution (january-november)")</f>
        <v>QUADRO IV - Execução orçamental da receita fiscal do Gov. Reg. (janeiro-novembro)</v>
      </c>
      <c r="D2" s="239"/>
      <c r="E2" s="239"/>
      <c r="F2" s="51"/>
      <c r="G2" s="51" t="str">
        <f>+IF(Índice!$D$2=1,"€ Milhares","€ Thousands")</f>
        <v>€ Milhares</v>
      </c>
      <c r="I2" s="178" t="str">
        <f>+IF(Índice!$D$2=1,"índice","Index")</f>
        <v>índice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VH (%)</v>
      </c>
      <c r="G3" s="240" t="str">
        <f>+IF(Índice!$D$2=1,"Grau de Execução (%)","Execution level (%)")</f>
        <v>Grau de Execução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Receitas fiscais</v>
      </c>
      <c r="D5" s="33">
        <v>854895.75371999992</v>
      </c>
      <c r="E5" s="33">
        <v>1018794.7382</v>
      </c>
      <c r="F5" s="270">
        <v>0.19171809400948447</v>
      </c>
      <c r="G5" s="270">
        <v>0.95015053687242612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Impostos diretos</v>
      </c>
      <c r="D7" s="70">
        <v>276412.44628000003</v>
      </c>
      <c r="E7" s="70">
        <v>376188.36986000004</v>
      </c>
      <c r="F7" s="271">
        <v>0.36096755020549653</v>
      </c>
      <c r="G7" s="271">
        <v>0.99252112177023166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IRS</v>
      </c>
      <c r="D8" s="70">
        <v>196300.30794</v>
      </c>
      <c r="E8" s="70">
        <v>209523.47100999998</v>
      </c>
      <c r="F8" s="271">
        <v>6.7361906910720082E-2</v>
      </c>
      <c r="G8" s="271">
        <v>0.87209897301100259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IRC</v>
      </c>
      <c r="D9" s="70">
        <v>80112.138340000005</v>
      </c>
      <c r="E9" s="70">
        <v>166664.89885</v>
      </c>
      <c r="F9" s="271">
        <v>1.0803950849828232</v>
      </c>
      <c r="G9" s="271">
        <v>1.2010058553547778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Outras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Impostos indiretos</v>
      </c>
      <c r="D11" s="70">
        <v>578483.30743999989</v>
      </c>
      <c r="E11" s="70">
        <v>642606.36833999993</v>
      </c>
      <c r="F11" s="271">
        <v>0.11084686468096727</v>
      </c>
      <c r="G11" s="271">
        <v>0.92698419970224588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ISP</v>
      </c>
      <c r="D12" s="70">
        <v>37241.997229999994</v>
      </c>
      <c r="E12" s="70">
        <v>34339.11032</v>
      </c>
      <c r="F12" s="271">
        <v>-7.7946595937706475E-2</v>
      </c>
      <c r="G12" s="271">
        <v>0.66672705653929787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IVA</v>
      </c>
      <c r="D13" s="70">
        <v>446878.99643</v>
      </c>
      <c r="E13" s="70">
        <v>504963.83023999998</v>
      </c>
      <c r="F13" s="271">
        <v>0.12997888527772528</v>
      </c>
      <c r="G13" s="271">
        <v>0.95715140951199562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ISV</v>
      </c>
      <c r="D14" s="70">
        <v>4431.4477699999998</v>
      </c>
      <c r="E14" s="70">
        <v>6269.7534900000001</v>
      </c>
      <c r="F14" s="271">
        <v>0.41483185979195247</v>
      </c>
      <c r="G14" s="271">
        <v>1.2248004473529985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Imposto de consumo sobre o tabaco</v>
      </c>
      <c r="D15" s="70">
        <v>30515.850149999998</v>
      </c>
      <c r="E15" s="70">
        <v>35982.681969999998</v>
      </c>
      <c r="F15" s="271">
        <v>0.17914728880656794</v>
      </c>
      <c r="G15" s="271">
        <v>0.95953818586666662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IABA</v>
      </c>
      <c r="D16" s="70">
        <v>7935.1499199999998</v>
      </c>
      <c r="E16" s="70">
        <v>8024.77621</v>
      </c>
      <c r="F16" s="271">
        <v>1.1294845201866188E-2</v>
      </c>
      <c r="G16" s="271">
        <v>0.72688190307971012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Outras</v>
      </c>
      <c r="D17" s="70">
        <v>51479.865940000003</v>
      </c>
      <c r="E17" s="70">
        <v>53026.216110000001</v>
      </c>
      <c r="F17" s="271">
        <v>3.0037960312528256E-2</v>
      </c>
      <c r="G17" s="271">
        <v>0.87660936349089158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Imposto de Selo</v>
      </c>
      <c r="D18" s="70">
        <v>28392.757229999999</v>
      </c>
      <c r="E18" s="70">
        <v>29370.714760000003</v>
      </c>
      <c r="F18" s="271">
        <v>3.4443908426289971E-2</v>
      </c>
      <c r="G18" s="271">
        <v>0.86159234936346996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IUC</v>
      </c>
      <c r="D19" s="70">
        <v>5824.20777</v>
      </c>
      <c r="E19" s="70">
        <v>6654.0212499999998</v>
      </c>
      <c r="F19" s="271">
        <v>0.14247662734051114</v>
      </c>
      <c r="G19" s="271">
        <v>0.87034642790247962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Receita não fiscal</v>
      </c>
      <c r="D21" s="33">
        <v>318170.12054999999</v>
      </c>
      <c r="E21" s="33">
        <v>311260.80113000004</v>
      </c>
      <c r="F21" s="270">
        <v>-2.1715802250872107E-2</v>
      </c>
      <c r="G21" s="270">
        <v>0.58363331490991122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Receita efetiva</v>
      </c>
      <c r="D23" s="139">
        <v>1173065.87427</v>
      </c>
      <c r="E23" s="139">
        <v>1330055.5393300001</v>
      </c>
      <c r="F23" s="274">
        <v>0.1338285159456154</v>
      </c>
      <c r="G23" s="274">
        <v>0.82840533512214565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Fonte: Secretaria Regional das Finanças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(janeiro-novembro)","TABLE V - Regional Gov. non-tax revenue budget execution (january-november)")</f>
        <v>QUADRO V - Execução orçamental da receita não fiscal do Gov. Reg. (janeiro-novembro)</v>
      </c>
      <c r="D2" s="243"/>
      <c r="E2" s="243"/>
      <c r="F2" s="49"/>
      <c r="G2" s="49" t="str">
        <f>+IF(Índice!$D$2=1,"€ Milhares","€ Tousands")</f>
        <v>€ Milhares</v>
      </c>
      <c r="I2" s="178" t="str">
        <f>+IF(Índice!$D$2=1,"índice","Index")</f>
        <v>índice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VH (%)</v>
      </c>
      <c r="G3" s="226" t="str">
        <f>+IF(Índice!$D$2=1,"Grau de Execução (%)","Execution level (%)")</f>
        <v>Grau de Execução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Receitas fiscais</v>
      </c>
      <c r="D5" s="41">
        <v>854895.75371999992</v>
      </c>
      <c r="E5" s="41">
        <v>1018794.7382</v>
      </c>
      <c r="F5" s="276">
        <v>0.19171809400948447</v>
      </c>
      <c r="G5" s="42">
        <v>0.95015053687242612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Receita não fiscal</v>
      </c>
      <c r="D7" s="41">
        <v>318170.12054999999</v>
      </c>
      <c r="E7" s="41">
        <v>311260.80113000004</v>
      </c>
      <c r="F7" s="276">
        <v>-2.1715802250872107E-2</v>
      </c>
      <c r="G7" s="42">
        <v>0.58363331490991122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Receita corrente</v>
      </c>
      <c r="D8" s="41">
        <v>220509.72278000001</v>
      </c>
      <c r="E8" s="41">
        <v>235484.77145999999</v>
      </c>
      <c r="F8" s="276">
        <v>6.7911058483985265E-2</v>
      </c>
      <c r="G8" s="42">
        <v>0.86894462319416088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Contribuições para Segurança Social, CGA e ADSE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Taxas, Multas e Outras Penalidades</v>
      </c>
      <c r="D10" s="71">
        <v>16115.036789999998</v>
      </c>
      <c r="E10" s="71">
        <v>19726.778460000009</v>
      </c>
      <c r="F10" s="278">
        <v>0.22412245886036297</v>
      </c>
      <c r="G10" s="43">
        <v>0.81735522556763296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Rendimentos da Propriedade</v>
      </c>
      <c r="D11" s="71">
        <v>7824.1235700000007</v>
      </c>
      <c r="E11" s="71">
        <v>8411.3706399999992</v>
      </c>
      <c r="F11" s="278">
        <v>7.5055955436552191E-2</v>
      </c>
      <c r="G11" s="43">
        <v>0.97117193615740904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Transferências correntes</v>
      </c>
      <c r="D12" s="71">
        <v>186819.24928999998</v>
      </c>
      <c r="E12" s="71">
        <v>195313.53129999997</v>
      </c>
      <c r="F12" s="278">
        <v>4.5467916407341491E-2</v>
      </c>
      <c r="G12" s="43">
        <v>0.99967059374016154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Venda de Bens e Serviços Correntes</v>
      </c>
      <c r="D13" s="47">
        <v>8152.4759599999988</v>
      </c>
      <c r="E13" s="47">
        <v>10498.091879999996</v>
      </c>
      <c r="F13" s="278">
        <v>0.2877182259118245</v>
      </c>
      <c r="G13" s="43">
        <v>1.0529328184993598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Outras receitas correntes</v>
      </c>
      <c r="D14" s="71">
        <v>1598.8371699999998</v>
      </c>
      <c r="E14" s="71">
        <v>1534.9991800000003</v>
      </c>
      <c r="F14" s="278">
        <v>-3.9927761999678513E-2</v>
      </c>
      <c r="G14" s="43">
        <v>4.6717953369066249E-2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Recursos Próprios Comunitários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Receita de capital</v>
      </c>
      <c r="D17" s="41">
        <v>97660.397769999996</v>
      </c>
      <c r="E17" s="41">
        <v>75776.029670000018</v>
      </c>
      <c r="F17" s="276">
        <v>-0.22408641168490684</v>
      </c>
      <c r="G17" s="42">
        <v>0.28887440909784168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Venda de bens de investimento</v>
      </c>
      <c r="D18" s="71">
        <v>4381.1557599999996</v>
      </c>
      <c r="E18" s="71">
        <v>7634.4390199999998</v>
      </c>
      <c r="F18" s="278">
        <v>0.74256279352186283</v>
      </c>
      <c r="G18" s="43">
        <v>0.28122665900465704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Transferências capital</v>
      </c>
      <c r="D19" s="44">
        <v>82808.934569999998</v>
      </c>
      <c r="E19" s="44">
        <v>64320.403160000002</v>
      </c>
      <c r="F19" s="278">
        <v>-0.22326735038924195</v>
      </c>
      <c r="G19" s="43">
        <v>0.28427299965190034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Outras receitas de capital</v>
      </c>
      <c r="D20" s="71">
        <v>1.3766800000000001</v>
      </c>
      <c r="E20" s="71">
        <v>8.2813999999999997</v>
      </c>
      <c r="F20" s="278">
        <v>5.0154865328180831</v>
      </c>
      <c r="G20" s="43">
        <v>4.0006763285024158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Reposições Não Abatidas nos Pagamentos</v>
      </c>
      <c r="D21" s="47">
        <v>10468.930759999999</v>
      </c>
      <c r="E21" s="47">
        <v>3812.9060899999999</v>
      </c>
      <c r="F21" s="278">
        <v>-0.63578839354172967</v>
      </c>
      <c r="G21" s="43">
        <v>0.42827205324048073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Receita efetiva</v>
      </c>
      <c r="D23" s="287">
        <v>1173065.87427</v>
      </c>
      <c r="E23" s="287">
        <v>1330055.5393300001</v>
      </c>
      <c r="F23" s="288">
        <v>0.1338285159456154</v>
      </c>
      <c r="G23" s="288">
        <v>0.82840533512214565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Fonte: Secretaria Regional das Finanças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(janeiro-novembro)","TABLE VI - Regional Gov. expenditure budget execution (january-november)")</f>
        <v>QUADRO VI - Execução orçamental das despesas do Governo Regional (janeiro-novembro)</v>
      </c>
      <c r="D2" s="205"/>
      <c r="E2" s="205"/>
      <c r="F2" s="205"/>
      <c r="G2" s="54"/>
      <c r="H2" s="52" t="str">
        <f>+IF(Índice!$D$2=1,"€ Milhares","€ Tousands")</f>
        <v>€ Milhares</v>
      </c>
      <c r="J2" s="178" t="str">
        <f>+IF(Índice!$D$2=1,"índice","Index")</f>
        <v>índice</v>
      </c>
    </row>
    <row r="3" spans="1:15" ht="24.95" customHeight="1">
      <c r="C3" s="89"/>
      <c r="D3" s="329">
        <v>2022</v>
      </c>
      <c r="E3" s="331">
        <v>2023</v>
      </c>
      <c r="F3" s="153">
        <v>2022</v>
      </c>
      <c r="G3" s="153">
        <v>2023</v>
      </c>
      <c r="H3" s="332" t="str">
        <f>+IF(Índice!$D$2=1,"VH (%)","yoy change (%)")</f>
        <v>VH (%)</v>
      </c>
    </row>
    <row r="4" spans="1:15" ht="12" customHeight="1">
      <c r="C4" s="132"/>
      <c r="D4" s="330"/>
      <c r="E4" s="330"/>
      <c r="F4" s="328" t="str">
        <f>+IF(Índice!$D$2=1,"Grau de Execução (%)","Execution level (%)")</f>
        <v>Grau de Execução (%)</v>
      </c>
      <c r="G4" s="328" t="str">
        <f>+IF(Índice!$D$2="PT","Grau de Execução (%)","Execution Level (%)")</f>
        <v>Execution Level (%)</v>
      </c>
      <c r="H4" s="333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Despesa corrente</v>
      </c>
      <c r="D5" s="253">
        <v>1082901.2101699994</v>
      </c>
      <c r="E5" s="253">
        <v>1164296.2886000001</v>
      </c>
      <c r="F5" s="253">
        <v>83.890642493929974</v>
      </c>
      <c r="G5" s="253">
        <v>79.794803803929867</v>
      </c>
      <c r="H5" s="253">
        <v>7.5163900146739033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Despesas com o pessoal</v>
      </c>
      <c r="D6" s="75">
        <v>376250.27257999964</v>
      </c>
      <c r="E6" s="74">
        <v>407387.95295999967</v>
      </c>
      <c r="F6" s="74">
        <v>89.636530286660658</v>
      </c>
      <c r="G6" s="74">
        <v>91.298606325004371</v>
      </c>
      <c r="H6" s="254">
        <v>8.2757894543131343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Remunerações Certas e Permanentes</v>
      </c>
      <c r="D7" s="75">
        <v>308619.24089999992</v>
      </c>
      <c r="E7" s="75">
        <v>333779.19439999969</v>
      </c>
      <c r="F7" s="75">
        <v>92.509254904971911</v>
      </c>
      <c r="G7" s="75">
        <v>94.203877897401654</v>
      </c>
      <c r="H7" s="254">
        <v>8.152425437450999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Abonos Variáveis ou Eventuais</v>
      </c>
      <c r="D8" s="75">
        <v>4909.6263999999974</v>
      </c>
      <c r="E8" s="75">
        <v>6082.0380199999991</v>
      </c>
      <c r="F8" s="75">
        <v>83.404961732726335</v>
      </c>
      <c r="G8" s="75">
        <v>78.232170071198283</v>
      </c>
      <c r="H8" s="254">
        <v>23.879854076065794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Segurança social</v>
      </c>
      <c r="D9" s="75">
        <v>62721.405279999977</v>
      </c>
      <c r="E9" s="75">
        <v>67526.72053999998</v>
      </c>
      <c r="F9" s="75">
        <v>78.152149380798235</v>
      </c>
      <c r="G9" s="75">
        <v>80.269740991331531</v>
      </c>
      <c r="H9" s="254">
        <v>7.6613641523945217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Aquisição de bens e serviços</v>
      </c>
      <c r="D10" s="75">
        <v>142813.52774999995</v>
      </c>
      <c r="E10" s="75">
        <v>151997.98733000027</v>
      </c>
      <c r="F10" s="75">
        <v>76.315060067622397</v>
      </c>
      <c r="G10" s="75">
        <v>76.235537290103863</v>
      </c>
      <c r="H10" s="254">
        <v>6.431085153276257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Juros e outros encargos</v>
      </c>
      <c r="D11" s="75">
        <v>87454.48179999998</v>
      </c>
      <c r="E11" s="75">
        <v>100503.12182000003</v>
      </c>
      <c r="F11" s="75">
        <v>85.27676229902869</v>
      </c>
      <c r="G11" s="75">
        <v>70.235640676706453</v>
      </c>
      <c r="H11" s="254">
        <v>14.920493211361126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Transferências correntes</v>
      </c>
      <c r="D12" s="74">
        <v>452001.33314</v>
      </c>
      <c r="E12" s="74">
        <v>484100.17851999984</v>
      </c>
      <c r="F12" s="74">
        <v>82.390216606959086</v>
      </c>
      <c r="G12" s="74">
        <v>76.759463938549516</v>
      </c>
      <c r="H12" s="254">
        <v>7.1014935192807824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Administração Pública</v>
      </c>
      <c r="D13" s="74">
        <v>372458.03850000002</v>
      </c>
      <c r="E13" s="74">
        <v>410663.08611999988</v>
      </c>
      <c r="F13" s="74">
        <v>85.518187311082244</v>
      </c>
      <c r="G13" s="74">
        <v>79.460125448495916</v>
      </c>
      <c r="H13" s="254">
        <v>10.257544117952994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Administração Central</v>
      </c>
      <c r="D14" s="75">
        <v>274.87770999999998</v>
      </c>
      <c r="E14" s="75">
        <v>230</v>
      </c>
      <c r="F14" s="74">
        <v>99.99953070260004</v>
      </c>
      <c r="G14" s="74">
        <v>63.48505341025146</v>
      </c>
      <c r="H14" s="254">
        <v>-16.326427486608495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Administração Regional</v>
      </c>
      <c r="D15" s="75">
        <v>372183.16079000005</v>
      </c>
      <c r="E15" s="75">
        <v>410433.08611999988</v>
      </c>
      <c r="F15" s="75">
        <v>85.520830888409577</v>
      </c>
      <c r="G15" s="75">
        <v>79.471331878950906</v>
      </c>
      <c r="H15" s="254">
        <v>10.27717784136448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Administração Local</v>
      </c>
      <c r="D16" s="75">
        <v>0</v>
      </c>
      <c r="E16" s="75">
        <v>0</v>
      </c>
      <c r="F16" s="75">
        <v>0</v>
      </c>
      <c r="G16" s="75">
        <v>0</v>
      </c>
      <c r="H16" s="254" t="s">
        <v>108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Segurança social</v>
      </c>
      <c r="D17" s="72">
        <v>0</v>
      </c>
      <c r="E17" s="72">
        <v>0</v>
      </c>
      <c r="F17" s="72">
        <v>0</v>
      </c>
      <c r="G17" s="72">
        <v>0</v>
      </c>
      <c r="H17" s="77" t="s">
        <v>108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Outras transferências correntes</v>
      </c>
      <c r="D18" s="75">
        <v>79543.294639999978</v>
      </c>
      <c r="E18" s="75">
        <v>73437.092399999965</v>
      </c>
      <c r="F18" s="72">
        <v>70.342712621719045</v>
      </c>
      <c r="G18" s="72">
        <v>64.500490149355798</v>
      </c>
      <c r="H18" s="77">
        <v>-7.676576973126009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Subsídios</v>
      </c>
      <c r="D19" s="72">
        <v>23466.772170000004</v>
      </c>
      <c r="E19" s="72">
        <v>19473.053340000002</v>
      </c>
      <c r="F19" s="72">
        <v>77.671921402282578</v>
      </c>
      <c r="G19" s="72">
        <v>54.52919196740411</v>
      </c>
      <c r="H19" s="77">
        <v>-17.018611682375237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Outras despesas correntes</v>
      </c>
      <c r="D20" s="72">
        <v>914.82272999999986</v>
      </c>
      <c r="E20" s="72">
        <v>833.99463000000026</v>
      </c>
      <c r="F20" s="72">
        <v>35.403438630275453</v>
      </c>
      <c r="G20" s="72">
        <v>20.635647097481055</v>
      </c>
      <c r="H20" s="77">
        <v>-8.835383878142121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Despesa corrente primária</v>
      </c>
      <c r="D22" s="78">
        <v>995446.72836999944</v>
      </c>
      <c r="E22" s="78">
        <v>1063793.1667800001</v>
      </c>
      <c r="F22" s="78">
        <v>83.77101585664181</v>
      </c>
      <c r="G22" s="78">
        <v>80.834196852328219</v>
      </c>
      <c r="H22" s="76">
        <v>6.8659061768091751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Despesa de capital</v>
      </c>
      <c r="D24" s="78">
        <v>179561.2625000001</v>
      </c>
      <c r="E24" s="78">
        <v>128465.86049999997</v>
      </c>
      <c r="F24" s="78">
        <v>61.101525943734458</v>
      </c>
      <c r="G24" s="78">
        <v>46.331523134698465</v>
      </c>
      <c r="H24" s="76">
        <v>-28.45569322057986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Investimento</v>
      </c>
      <c r="D25" s="72">
        <v>88110.774390000122</v>
      </c>
      <c r="E25" s="72">
        <v>87509.88787999998</v>
      </c>
      <c r="F25" s="72">
        <v>52.687203064161849</v>
      </c>
      <c r="G25" s="72">
        <v>46.807809919033176</v>
      </c>
      <c r="H25" s="77">
        <v>-0.6819671194131941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Transferências capital</v>
      </c>
      <c r="D26" s="59">
        <v>91450.488109999977</v>
      </c>
      <c r="E26" s="59">
        <v>40955.972619999986</v>
      </c>
      <c r="F26" s="59">
        <v>72.779156382106223</v>
      </c>
      <c r="G26" s="59">
        <v>45.345639574178939</v>
      </c>
      <c r="H26" s="77">
        <v>-55.215140491391743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v>81457.243499999982</v>
      </c>
      <c r="E27" s="59">
        <v>34920.101249999985</v>
      </c>
      <c r="F27" s="59">
        <v>66.729885665375164</v>
      </c>
      <c r="G27" s="59">
        <v>47.955204983393749</v>
      </c>
      <c r="H27" s="77">
        <v>-57.130759955067724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v>7434.8215299999993</v>
      </c>
      <c r="E28" s="72">
        <v>5865.9711399999997</v>
      </c>
      <c r="F28" s="72">
        <v>92.942995011460312</v>
      </c>
      <c r="G28" s="72">
        <v>66.227770685046451</v>
      </c>
      <c r="H28" s="77">
        <v>-21.101386007311458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v>73471.472629999975</v>
      </c>
      <c r="E29" s="72">
        <v>28231.183309999989</v>
      </c>
      <c r="F29" s="72">
        <v>64.858535995717403</v>
      </c>
      <c r="G29" s="72">
        <v>48.062850072240202</v>
      </c>
      <c r="H29" s="77">
        <v>-61.575313112109043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v>550.94934000000001</v>
      </c>
      <c r="E30" s="72">
        <v>822.94680000000005</v>
      </c>
      <c r="F30" s="72">
        <v>69.634648634984828</v>
      </c>
      <c r="G30" s="72">
        <v>15.756679694051748</v>
      </c>
      <c r="H30" s="77">
        <v>49.368869377355104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Despesa efetiva</v>
      </c>
      <c r="D33" s="142">
        <v>1262462.4726699996</v>
      </c>
      <c r="E33" s="142">
        <v>1292762.1491</v>
      </c>
      <c r="F33" s="143">
        <v>79.664589593111913</v>
      </c>
      <c r="G33" s="143">
        <v>74.451217307169486</v>
      </c>
      <c r="H33" s="141">
        <v>2.4000457111346249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Por memória: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Ativos financeiros</v>
      </c>
      <c r="D36" s="150">
        <v>37779.404479999997</v>
      </c>
      <c r="E36" s="150">
        <v>24512.518009999996</v>
      </c>
      <c r="F36" s="150">
        <v>75.647826783689425</v>
      </c>
      <c r="G36" s="150">
        <v>22.646999926291631</v>
      </c>
      <c r="H36" s="128">
        <v>-35.116716773614961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Passivos financeiros</v>
      </c>
      <c r="D37" s="150">
        <v>473083.16170999996</v>
      </c>
      <c r="E37" s="150">
        <v>214606.04019999996</v>
      </c>
      <c r="F37" s="150">
        <v>89.162672565737793</v>
      </c>
      <c r="G37" s="150">
        <v>83.685455597197176</v>
      </c>
      <c r="H37" s="128">
        <v>-54.636719805395764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Fonte: Secretaria Regional das Finanças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(janeiro-novembro)","TABLE VII - Regional Gov. expenditure by functional classification (january-november)")</f>
        <v>QUADRO VII - Despesa do Governo Regional, por classificação funcional (janeiro-novembro)</v>
      </c>
      <c r="D2" s="205"/>
      <c r="E2" s="205"/>
      <c r="F2" s="52" t="str">
        <f>+IF(Índice!$D$2=1,"€ Milhares","€ Thousands")</f>
        <v>€ Milhares</v>
      </c>
      <c r="H2" s="178" t="str">
        <f>+IF(Índice!$D$2=1,"índice","Index")</f>
        <v>índice</v>
      </c>
      <c r="N2" s="7"/>
      <c r="Q2" s="9"/>
    </row>
    <row r="3" spans="2:17" ht="19.5" customHeight="1">
      <c r="C3" s="133"/>
      <c r="D3" s="331">
        <v>2022</v>
      </c>
      <c r="E3" s="334">
        <v>2023</v>
      </c>
      <c r="F3" s="335" t="str">
        <f>+IF(Índice!$D$2=1,"Peso na estrutura
 em 2023","Weight in 2023 structure")</f>
        <v>Peso na estrutura
 em 2023</v>
      </c>
      <c r="M3" s="7"/>
      <c r="N3" s="7"/>
      <c r="P3" s="9"/>
      <c r="Q3" s="9"/>
    </row>
    <row r="4" spans="2:17" ht="13.5" customHeight="1">
      <c r="C4" s="134"/>
      <c r="D4" s="330"/>
      <c r="E4" s="330"/>
      <c r="F4" s="330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Serviços gerais das administrações públicas</v>
      </c>
      <c r="D5" s="34">
        <v>159626.10046999986</v>
      </c>
      <c r="E5" s="34">
        <v>186407.65505000012</v>
      </c>
      <c r="F5" s="34">
        <v>14.41933113371042</v>
      </c>
      <c r="M5" s="7"/>
      <c r="N5" s="7"/>
      <c r="P5" s="9"/>
      <c r="Q5" s="9"/>
    </row>
    <row r="6" spans="2:17">
      <c r="B6" s="29"/>
      <c r="C6" s="64" t="str">
        <f>+IF(Índice!$D$2=1,"Defesa","Defence")</f>
        <v>Defesa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>Segurança e ordem públicas</v>
      </c>
      <c r="D7" s="34">
        <v>10709.465879999998</v>
      </c>
      <c r="E7" s="34">
        <v>10412.995040000002</v>
      </c>
      <c r="F7" s="34">
        <v>0.80548421434285999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Assuntos económicos</v>
      </c>
      <c r="D8" s="34">
        <v>320536.29606000026</v>
      </c>
      <c r="E8" s="34">
        <v>226893.92473999996</v>
      </c>
      <c r="F8" s="34">
        <v>17.55109591489509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Proteção do ambiente</v>
      </c>
      <c r="D9" s="34">
        <v>15596.364459999999</v>
      </c>
      <c r="E9" s="34">
        <v>15846.783149999992</v>
      </c>
      <c r="F9" s="34">
        <v>1.2258081009745121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Habitação e infraestruturas coletivas</v>
      </c>
      <c r="D10" s="34">
        <v>51094.260719999969</v>
      </c>
      <c r="E10" s="34">
        <v>82779.029530000014</v>
      </c>
      <c r="F10" s="34">
        <v>6.403268349682846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Saúde</v>
      </c>
      <c r="D11" s="34">
        <v>312743.76527999993</v>
      </c>
      <c r="E11" s="34">
        <v>345123.13510000007</v>
      </c>
      <c r="F11" s="34">
        <v>26.696568687462687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Desporto, recreação, cultura e religião</v>
      </c>
      <c r="D12" s="34">
        <v>28977.293520000003</v>
      </c>
      <c r="E12" s="34">
        <v>30946.72591999995</v>
      </c>
      <c r="F12" s="34">
        <v>2.3938452979571356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Educação</v>
      </c>
      <c r="D13" s="34">
        <v>346988.88782999944</v>
      </c>
      <c r="E13" s="34">
        <v>375805.57714999915</v>
      </c>
      <c r="F13" s="34">
        <v>29.069970637029328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Proteção Social</v>
      </c>
      <c r="D14" s="34">
        <v>16190.038449999998</v>
      </c>
      <c r="E14" s="34">
        <v>18546.323420000008</v>
      </c>
      <c r="F14" s="34">
        <v>1.4346276639451168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Despesa efetiva</v>
      </c>
      <c r="D17" s="145">
        <v>1262462.4726699996</v>
      </c>
      <c r="E17" s="145">
        <v>1292762.1490999993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Por memória: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Ativos financeiros</v>
      </c>
      <c r="D20" s="152">
        <v>37779.404479999997</v>
      </c>
      <c r="E20" s="152">
        <v>24512.518009999996</v>
      </c>
      <c r="F20" s="152">
        <v>1.8961351882916149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Passivos financeiros</v>
      </c>
      <c r="D21" s="283">
        <v>473083.16170999996</v>
      </c>
      <c r="E21" s="283">
        <v>214606.04019999996</v>
      </c>
      <c r="F21" s="283">
        <v>16.600581967023501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Fonte: Secretaria Regional das Finanças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LongProperties xmlns="http://schemas.microsoft.com/office/2006/metadata/longProperties"/>
</file>

<file path=customXml/item2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Props1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2023-12-21T10:54:12Z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