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Outubro\"/>
    </mc:Choice>
  </mc:AlternateContent>
  <xr:revisionPtr revIDLastSave="0" documentId="13_ncr:1_{2875442C-E293-4763-B62E-2CDD13044012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C2" i="32"/>
  <c r="C2" i="8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<sst xmlns="http://schemas.openxmlformats.org/spreadsheetml/2006/main" count="114" uniqueCount="97">
  <si>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</si>
  <si>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</si>
  <si>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</si>
  <si>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</si>
  <si>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</si>
  <si>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</si>
  <si>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</si>
  <si>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</si>
  <si>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</si>
  <si>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</si>
  <si>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</si>
  <si>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</si>
  <si>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</si>
  <si>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</si>
  <si>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</si>
  <si>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</si>
  <si>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</si>
  <si>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</si>
  <si>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</si>
  <si>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</si>
  <si>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</si>
  <si>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</si>
  <si>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</si>
  <si>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</si>
  <si>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</si>
  <si>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</si>
  <si>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</si>
  <si>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</si>
  <si>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</si>
  <si>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</si>
  <si>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</si>
  <si>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</si>
  <si>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</si>
  <si>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</si>
  <si>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</si>
  <si>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</si>
  <si>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</si>
  <si>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</si>
  <si>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</si>
  <si>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</si>
  <si>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</si>
  <si>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</si>
  <si>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</si>
  <si>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</si>
  <si>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</si>
  <si>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</si>
  <si>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</si>
  <si>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</si>
  <si>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</si>
  <si>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</si>
  <si>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</si>
  <si>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</si>
  <si>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</si>
  <si>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</si>
  <si>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</si>
  <si>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</si>
  <si>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</si>
  <si>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</si>
  <si>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</si>
  <si>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</si>
  <si>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</si>
  <si>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</si>
  <si>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</si>
  <si>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</si>
  <si>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</si>
  <si>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</si>
  <si>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</si>
  <si>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</si>
  <si>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</si>
  <si>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</si>
  <si>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</si>
  <si>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</si>
  <si>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</si>
  <si>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</si>
  <si>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</si>
  <si>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</si>
  <si>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</si>
  <si>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</si>
  <si>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</si>
  <si>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</si>
  <si>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</si>
  <si>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</si>
  <si>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</si>
  <si>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</si>
  <si>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</si>
  <si>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</si>
  <si>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</si>
  <si>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</si>
  <si>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</si>
  <si>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</si>
  <si>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</si>
  <si>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</si>
  <si>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</si>
  <si>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</si>
  <si>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Conservatório -Escola Profissional das Artes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</si>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</sst>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0" fontId="69" fillId="0" borderId="0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O30" sqref="O30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QUADRO VIII - Execução orçamental por classificação cruzada orgânica e económica (janeiro-outubro)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12131.9</v>
      </c>
      <c r="E4" s="194">
        <v>1904.5390399999997</v>
      </c>
      <c r="F4" s="194">
        <v>358934.35611999989</v>
      </c>
      <c r="G4" s="194">
        <v>160446.87684000001</v>
      </c>
      <c r="H4" s="194">
        <v>350972.70582000003</v>
      </c>
      <c r="I4" s="194">
        <v>35123.857950000005</v>
      </c>
      <c r="J4" s="194">
        <v>36754.671910000005</v>
      </c>
      <c r="K4" s="194">
        <v>128946.33746</v>
      </c>
      <c r="L4" s="194">
        <v>22580.144039999999</v>
      </c>
      <c r="M4" s="194">
        <v>1107795.3891799999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1500.0346699999998</v>
      </c>
      <c r="F5" s="196">
        <v>283972.18707999983</v>
      </c>
      <c r="G5" s="196">
        <v>26469.258750000008</v>
      </c>
      <c r="H5" s="196">
        <v>4420.2529900000009</v>
      </c>
      <c r="I5" s="196">
        <v>17183.012600000009</v>
      </c>
      <c r="J5" s="196">
        <v>21975.312710000002</v>
      </c>
      <c r="K5" s="196">
        <v>13748.133199999998</v>
      </c>
      <c r="L5" s="196">
        <v>6217.8096999999971</v>
      </c>
      <c r="M5" s="196">
        <v>375486.00169999985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1168.8887699999998</v>
      </c>
      <c r="F6" s="198">
        <v>226511.22589999982</v>
      </c>
      <c r="G6" s="198">
        <v>19472.255130000009</v>
      </c>
      <c r="H6" s="198">
        <v>3471.7756700000009</v>
      </c>
      <c r="I6" s="198">
        <v>13652.073150000011</v>
      </c>
      <c r="J6" s="198">
        <v>17281.238920000003</v>
      </c>
      <c r="K6" s="198">
        <v>10861.274829999998</v>
      </c>
      <c r="L6" s="198">
        <v>4862.2480199999964</v>
      </c>
      <c r="M6" s="198">
        <v>297280.98038999987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30.047410000000003</v>
      </c>
      <c r="F7" s="198">
        <v>7604.0747799999981</v>
      </c>
      <c r="G7" s="198">
        <v>2487.7044599999999</v>
      </c>
      <c r="H7" s="198">
        <v>152.81240000000003</v>
      </c>
      <c r="I7" s="198">
        <v>470.97194999999999</v>
      </c>
      <c r="J7" s="198">
        <v>881.58762000000002</v>
      </c>
      <c r="K7" s="198">
        <v>512.31331999999998</v>
      </c>
      <c r="L7" s="198">
        <v>299.41689999999994</v>
      </c>
      <c r="M7" s="198">
        <v>12438.928839999999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301.09849000000003</v>
      </c>
      <c r="F8" s="198">
        <v>49856.88640000001</v>
      </c>
      <c r="G8" s="198">
        <v>4509.2991599999996</v>
      </c>
      <c r="H8" s="198">
        <v>795.66492000000005</v>
      </c>
      <c r="I8" s="198">
        <v>3059.9675000000007</v>
      </c>
      <c r="J8" s="198">
        <v>3812.4861699999997</v>
      </c>
      <c r="K8" s="198">
        <v>2374.5450500000002</v>
      </c>
      <c r="L8" s="198">
        <v>1056.1447800000003</v>
      </c>
      <c r="M8" s="198">
        <v>65766.092470000003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384.00436999999994</v>
      </c>
      <c r="F9" s="196">
        <v>15171.024490000018</v>
      </c>
      <c r="G9" s="196">
        <v>30691.715789999998</v>
      </c>
      <c r="H9" s="196">
        <v>482.79495999999989</v>
      </c>
      <c r="I9" s="196">
        <v>6291.1157300000023</v>
      </c>
      <c r="J9" s="196">
        <v>2074.9959500000004</v>
      </c>
      <c r="K9" s="196">
        <v>86112.857180000006</v>
      </c>
      <c r="L9" s="196">
        <v>465.35692</v>
      </c>
      <c r="M9" s="196">
        <v>141673.86539000002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63.611879999999999</v>
      </c>
      <c r="F10" s="198">
        <v>8517.2976200000121</v>
      </c>
      <c r="G10" s="198">
        <v>399.68545999999998</v>
      </c>
      <c r="H10" s="198">
        <v>40.367300000000007</v>
      </c>
      <c r="I10" s="198">
        <v>1526.2386100000003</v>
      </c>
      <c r="J10" s="198">
        <v>277.97541000000001</v>
      </c>
      <c r="K10" s="198">
        <v>1581.7355299999997</v>
      </c>
      <c r="L10" s="198">
        <v>48.722729999999999</v>
      </c>
      <c r="M10" s="198">
        <v>12455.634540000014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320.39248999999995</v>
      </c>
      <c r="F11" s="198">
        <v>6653.726870000005</v>
      </c>
      <c r="G11" s="198">
        <v>30292.030329999998</v>
      </c>
      <c r="H11" s="198">
        <v>442.42765999999989</v>
      </c>
      <c r="I11" s="198">
        <v>4764.8771200000019</v>
      </c>
      <c r="J11" s="198">
        <v>1797.0205400000002</v>
      </c>
      <c r="K11" s="198">
        <v>84531.121650000001</v>
      </c>
      <c r="L11" s="198">
        <v>416.63418999999999</v>
      </c>
      <c r="M11" s="198">
        <v>129218.23085000001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14.502929999999999</v>
      </c>
      <c r="G12" s="198">
        <v>93823.03366999999</v>
      </c>
      <c r="H12" s="198">
        <v>8.9650000000000007E-2</v>
      </c>
      <c r="I12" s="198">
        <v>3.7580000000000002E-2</v>
      </c>
      <c r="J12" s="198">
        <v>1.99E-3</v>
      </c>
      <c r="K12" s="198">
        <v>0</v>
      </c>
      <c r="L12" s="198">
        <v>0</v>
      </c>
      <c r="M12" s="198">
        <v>93837.665819999995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12131.9</v>
      </c>
      <c r="E13" s="196">
        <v>20.5</v>
      </c>
      <c r="F13" s="196">
        <v>59736.15352</v>
      </c>
      <c r="G13" s="196">
        <v>8775.9090099999994</v>
      </c>
      <c r="H13" s="196">
        <v>346066.8247</v>
      </c>
      <c r="I13" s="196">
        <v>11614.518819999998</v>
      </c>
      <c r="J13" s="196">
        <v>11324.660809999999</v>
      </c>
      <c r="K13" s="196">
        <v>6075.02135</v>
      </c>
      <c r="L13" s="196">
        <v>15896.926420000002</v>
      </c>
      <c r="M13" s="196">
        <v>471642.41462999996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12131.9</v>
      </c>
      <c r="E14" s="200">
        <v>0</v>
      </c>
      <c r="F14" s="200">
        <v>17643.520859999997</v>
      </c>
      <c r="G14" s="200">
        <v>8614.3205600000001</v>
      </c>
      <c r="H14" s="200">
        <v>345556.40506999998</v>
      </c>
      <c r="I14" s="200">
        <v>0</v>
      </c>
      <c r="J14" s="200">
        <v>10937.18944</v>
      </c>
      <c r="K14" s="200">
        <v>6044.3631100000002</v>
      </c>
      <c r="L14" s="200">
        <v>4061.7745300000001</v>
      </c>
      <c r="M14" s="200">
        <v>404989.47356999991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117.78400000000001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117.78400000000001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12131.9</v>
      </c>
      <c r="E16" s="198">
        <v>0</v>
      </c>
      <c r="F16" s="198">
        <v>17525.736859999997</v>
      </c>
      <c r="G16" s="198">
        <v>8614.3205600000001</v>
      </c>
      <c r="H16" s="198">
        <v>345556.40506999998</v>
      </c>
      <c r="I16" s="198">
        <v>0</v>
      </c>
      <c r="J16" s="198">
        <v>10937.18944</v>
      </c>
      <c r="K16" s="198">
        <v>6044.3631100000002</v>
      </c>
      <c r="L16" s="198">
        <v>4061.7745300000001</v>
      </c>
      <c r="M16" s="198">
        <v>404871.68956999993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20.5</v>
      </c>
      <c r="F19" s="200">
        <v>42092.632660000003</v>
      </c>
      <c r="G19" s="200">
        <v>161.58844999999999</v>
      </c>
      <c r="H19" s="200">
        <v>510.41962999999998</v>
      </c>
      <c r="I19" s="200">
        <v>11614.518819999998</v>
      </c>
      <c r="J19" s="200">
        <v>387.47136999999998</v>
      </c>
      <c r="K19" s="200">
        <v>30.658239999999999</v>
      </c>
      <c r="L19" s="200">
        <v>11835.151890000001</v>
      </c>
      <c r="M19" s="200">
        <v>66652.941059999997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12912.020550000007</v>
      </c>
      <c r="G20" s="198">
        <v>0</v>
      </c>
      <c r="H20" s="198">
        <v>0</v>
      </c>
      <c r="I20" s="198">
        <v>427.02500000000003</v>
      </c>
      <c r="J20" s="198">
        <v>2.3198000000000003</v>
      </c>
      <c r="K20" s="198">
        <v>6.2210799999999997</v>
      </c>
      <c r="L20" s="198">
        <v>0</v>
      </c>
      <c r="M20" s="198">
        <v>13347.586430000005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20.5</v>
      </c>
      <c r="F22" s="198">
        <v>24639.269940000002</v>
      </c>
      <c r="G22" s="198">
        <v>34.362970000000004</v>
      </c>
      <c r="H22" s="198">
        <v>490.75</v>
      </c>
      <c r="I22" s="198">
        <v>10930.116999999998</v>
      </c>
      <c r="J22" s="198">
        <v>298.64</v>
      </c>
      <c r="K22" s="198">
        <v>0</v>
      </c>
      <c r="L22" s="198">
        <v>7956.9447100000007</v>
      </c>
      <c r="M22" s="198">
        <v>44370.584620000001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4541.3421699999999</v>
      </c>
      <c r="G23" s="198">
        <v>107.74148</v>
      </c>
      <c r="H23" s="198">
        <v>19.669629999999998</v>
      </c>
      <c r="I23" s="198">
        <v>228.09838999999999</v>
      </c>
      <c r="J23" s="198">
        <v>86.511569999999992</v>
      </c>
      <c r="K23" s="198">
        <v>24.437159999999999</v>
      </c>
      <c r="L23" s="198">
        <v>3878.2071800000003</v>
      </c>
      <c r="M23" s="198">
        <v>8886.0075800000013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19.484000000000002</v>
      </c>
      <c r="H24" s="198">
        <v>0</v>
      </c>
      <c r="I24" s="198">
        <v>29.27843</v>
      </c>
      <c r="J24" s="198">
        <v>0</v>
      </c>
      <c r="K24" s="198">
        <v>0</v>
      </c>
      <c r="L24" s="198">
        <v>0</v>
      </c>
      <c r="M24" s="198">
        <v>48.762430000000002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1337.3609500000002</v>
      </c>
      <c r="K25" s="198">
        <v>22987.532439999995</v>
      </c>
      <c r="L25" s="198">
        <v>0</v>
      </c>
      <c r="M25" s="198">
        <v>24324.893389999997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40.488099999999996</v>
      </c>
      <c r="G26" s="198">
        <v>686.95961999999986</v>
      </c>
      <c r="H26" s="198">
        <v>2.7435200000000002</v>
      </c>
      <c r="I26" s="198">
        <v>35.173220000000001</v>
      </c>
      <c r="J26" s="198">
        <v>42.339500000000001</v>
      </c>
      <c r="K26" s="198">
        <v>22.793290000000002</v>
      </c>
      <c r="L26" s="198">
        <v>5.0999999999999997E-2</v>
      </c>
      <c r="M26" s="198">
        <v>830.54824999999994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4.7454799999999997</v>
      </c>
      <c r="F27" s="32">
        <v>6140.0936499999998</v>
      </c>
      <c r="G27" s="32">
        <v>10606.772949999999</v>
      </c>
      <c r="H27" s="32">
        <v>789.87695999999983</v>
      </c>
      <c r="I27" s="32">
        <v>478.67136000000005</v>
      </c>
      <c r="J27" s="32">
        <v>9098.2508699999998</v>
      </c>
      <c r="K27" s="32">
        <v>82979.34821000004</v>
      </c>
      <c r="L27" s="32">
        <v>4574.3563299999996</v>
      </c>
      <c r="M27" s="32">
        <v>114742.11581000003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4.7454799999999997</v>
      </c>
      <c r="F28" s="198">
        <v>2121.9379099999996</v>
      </c>
      <c r="G28" s="198">
        <v>7592.3855299999996</v>
      </c>
      <c r="H28" s="198">
        <v>12.517569999999999</v>
      </c>
      <c r="I28" s="198">
        <v>315.75480000000005</v>
      </c>
      <c r="J28" s="198">
        <v>1819.1558600000003</v>
      </c>
      <c r="K28" s="198">
        <v>72222.395930000042</v>
      </c>
      <c r="L28" s="198">
        <v>80.194960000000009</v>
      </c>
      <c r="M28" s="198">
        <v>84169.088040000031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4018.1557400000002</v>
      </c>
      <c r="G29" s="196">
        <v>3014.38742</v>
      </c>
      <c r="H29" s="196">
        <v>777.35938999999985</v>
      </c>
      <c r="I29" s="196">
        <v>162.91656</v>
      </c>
      <c r="J29" s="196">
        <v>7279.0950099999991</v>
      </c>
      <c r="K29" s="196">
        <v>10756.95228</v>
      </c>
      <c r="L29" s="196">
        <v>4494.1613699999998</v>
      </c>
      <c r="M29" s="196">
        <v>30573.027770000001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2273.64365</v>
      </c>
      <c r="G30" s="200">
        <v>2985.7713800000001</v>
      </c>
      <c r="H30" s="200">
        <v>777.35938999999985</v>
      </c>
      <c r="I30" s="200">
        <v>0</v>
      </c>
      <c r="J30" s="200">
        <v>6856.5953199999994</v>
      </c>
      <c r="K30" s="200">
        <v>10756.95228</v>
      </c>
      <c r="L30" s="200">
        <v>0</v>
      </c>
      <c r="M30" s="200">
        <v>23720.32202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6719.7782499999994</v>
      </c>
      <c r="K31" s="198">
        <v>0</v>
      </c>
      <c r="L31" s="198">
        <v>0</v>
      </c>
      <c r="M31" s="198">
        <v>6719.7782499999994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2273.64365</v>
      </c>
      <c r="G32" s="198">
        <v>1838.3230299999998</v>
      </c>
      <c r="H32" s="198">
        <v>777.35938999999985</v>
      </c>
      <c r="I32" s="198">
        <v>0</v>
      </c>
      <c r="J32" s="198">
        <v>136.81707</v>
      </c>
      <c r="K32" s="198">
        <v>10756.95228</v>
      </c>
      <c r="L32" s="198">
        <v>0</v>
      </c>
      <c r="M32" s="198">
        <v>15853.095419999998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1147.4483500000001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1147.4483500000001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1744.5120900000002</v>
      </c>
      <c r="G35" s="200">
        <v>28.616039999999998</v>
      </c>
      <c r="H35" s="200">
        <v>0</v>
      </c>
      <c r="I35" s="200">
        <v>162.91656</v>
      </c>
      <c r="J35" s="200">
        <v>422.49968999999999</v>
      </c>
      <c r="K35" s="200">
        <v>0</v>
      </c>
      <c r="L35" s="200">
        <v>4494.1613699999998</v>
      </c>
      <c r="M35" s="200">
        <v>6852.7057500000001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12201.9</v>
      </c>
      <c r="E38" s="204">
        <v>1909.2845199999997</v>
      </c>
      <c r="F38" s="204">
        <v>365074.44976999989</v>
      </c>
      <c r="G38" s="204">
        <v>171053.64979</v>
      </c>
      <c r="H38" s="204">
        <v>351762.58278000006</v>
      </c>
      <c r="I38" s="204">
        <v>35602.529310000005</v>
      </c>
      <c r="J38" s="204">
        <v>45852.922780000008</v>
      </c>
      <c r="K38" s="204">
        <v>211925.68567000004</v>
      </c>
      <c r="L38" s="204">
        <v>27154.500369999998</v>
      </c>
      <c r="M38" s="204">
        <v>1222537.50499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141.374</v>
      </c>
      <c r="K40" s="208">
        <v>10492.847450000001</v>
      </c>
      <c r="L40" s="208">
        <v>0</v>
      </c>
      <c r="M40" s="208">
        <v>10634.221450000001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196123.99557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196123.99557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132397.70500000002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Fonte: Secretaria Regional das Finanças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H16" sqref="H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QUADRO IX - Saldo Global do Subsetor - EPR (janeiro-outubro)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3302.366610000201</v>
      </c>
      <c r="E5" s="82">
        <v>18206.206249999872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(janeiro-outubro)","TABLE X - ASFs and RPEs budget execution (january-october)")</f>
        <v>QUADRO X - Execução orçamental dos Serviços e Fundos Autónomos e EPR (janeiro-outubro)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18602.767970000103</v>
      </c>
      <c r="E4" s="98">
        <v>18206.206249999872</v>
      </c>
      <c r="F4" s="98">
        <v>36808.974219999975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455734.65591999982</v>
      </c>
      <c r="E7" s="74">
        <v>351063.21509999997</v>
      </c>
      <c r="F7" s="74">
        <v>806797.87101999973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18624.013690000102</v>
      </c>
      <c r="E8" s="74">
        <v>19477.876109999874</v>
      </c>
      <c r="F8" s="74">
        <v>38101.889799999975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16004.483740000112</v>
      </c>
      <c r="E9" s="74">
        <v>16501.630149999866</v>
      </c>
      <c r="F9" s="74">
        <v>32506.113889999921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2598.2842300000007</v>
      </c>
      <c r="E10" s="74">
        <v>1704.5760999999839</v>
      </c>
      <c r="F10" s="74">
        <v>4302.8603299999886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(janeiro-outubro)","TABLE XI - ASFs and RPEs budget execution (january-october)")</f>
        <v>QUADRO XI - Execução orçamental dos Serviços e Fundos Autónomos e EPR (janeiro-outubro)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467673.11926999991</v>
      </c>
      <c r="E4" s="108">
        <v>333966.16979999986</v>
      </c>
      <c r="F4" s="108">
        <v>801639.28906999971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3703.583889999999</v>
      </c>
      <c r="E8" s="74">
        <v>7089.9006900000004</v>
      </c>
      <c r="F8" s="74">
        <v>10793.48458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458354.13462999993</v>
      </c>
      <c r="E9" s="74">
        <v>295081.55061999988</v>
      </c>
      <c r="F9" s="74">
        <v>753435.68524999986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34716.127739999996</v>
      </c>
      <c r="E10" s="74">
        <v>3750.4457299999995</v>
      </c>
      <c r="F10" s="74">
        <v>38466.573469999996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422270.23856999993</v>
      </c>
      <c r="E11" s="74">
        <v>291320.81423999992</v>
      </c>
      <c r="F11" s="74">
        <v>713591.05280999979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4793.0863999999992</v>
      </c>
      <c r="E12" s="74">
        <v>14319.592060000003</v>
      </c>
      <c r="F12" s="74">
        <v>19112.678460000003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822.3143500000001</v>
      </c>
      <c r="E13" s="74">
        <v>17475.12643</v>
      </c>
      <c r="F13" s="74">
        <v>18297.440780000001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6685.5503399999998</v>
      </c>
      <c r="E14" s="83">
        <v>36574.921409999995</v>
      </c>
      <c r="F14" s="83">
        <v>43260.471749999997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236.27903000000001</v>
      </c>
      <c r="F15" s="34">
        <v>236.27903000000001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6641.8051699999996</v>
      </c>
      <c r="E16" s="34">
        <v>35622.29883</v>
      </c>
      <c r="F16" s="74">
        <v>42264.103999999999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4307.6215500000008</v>
      </c>
      <c r="E17" s="34">
        <v>20992.238300000001</v>
      </c>
      <c r="F17" s="74">
        <v>25299.859850000001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2334.1836199999989</v>
      </c>
      <c r="E18" s="74">
        <v>14630.060529999999</v>
      </c>
      <c r="F18" s="74">
        <v>16964.244149999999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623.16845999999998</v>
      </c>
      <c r="F19" s="74">
        <v>623.16845999999998</v>
      </c>
    </row>
    <row r="20" spans="2:6" ht="11.25" customHeight="1">
      <c r="C20" s="110" t="str">
        <f>+IF(Índice!$D$2=1,"Receita efetiva","Effective revenue")</f>
        <v>Receita efetiva</v>
      </c>
      <c r="D20" s="83">
        <v>474358.66960999992</v>
      </c>
      <c r="E20" s="83">
        <v>370541.09120999987</v>
      </c>
      <c r="F20" s="83">
        <v>844899.76081999973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451668.6355299998</v>
      </c>
      <c r="E22" s="83">
        <v>317464.53964999999</v>
      </c>
      <c r="F22" s="83">
        <v>769133.17517999979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46316.142369999965</v>
      </c>
      <c r="E23" s="74">
        <v>216645.31727999993</v>
      </c>
      <c r="F23" s="74">
        <v>262961.45964999992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85517.104030000031</v>
      </c>
      <c r="E24" s="74">
        <v>87256.71778000005</v>
      </c>
      <c r="F24" s="74">
        <v>172773.82181000008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21.245719999999999</v>
      </c>
      <c r="E25" s="74">
        <v>1271.6698600000004</v>
      </c>
      <c r="F25" s="74">
        <v>1292.9155800000003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314464.87862999982</v>
      </c>
      <c r="E26" s="74">
        <v>10982.681599999998</v>
      </c>
      <c r="F26" s="74">
        <v>325447.56022999983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2105.73522</v>
      </c>
      <c r="E27" s="74">
        <v>0</v>
      </c>
      <c r="F27" s="59">
        <v>2105.73522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312359.14340999984</v>
      </c>
      <c r="E28" s="74">
        <v>10982.681599999998</v>
      </c>
      <c r="F28" s="59">
        <v>323341.82500999985</v>
      </c>
    </row>
    <row r="29" spans="2:6" ht="11.25" customHeight="1">
      <c r="C29" s="104" t="str">
        <f>+IF(Índice!$D$2=1,"Subsídios","Subsidies")</f>
        <v>Subsídios</v>
      </c>
      <c r="D29" s="74">
        <v>5197.5234600000003</v>
      </c>
      <c r="E29" s="74">
        <v>0</v>
      </c>
      <c r="F29" s="74">
        <v>5197.5234600000003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151.74131999999997</v>
      </c>
      <c r="E30" s="74">
        <v>1308.1531300000001</v>
      </c>
      <c r="F30" s="74">
        <v>1459.8944500000002</v>
      </c>
    </row>
    <row r="31" spans="2:6" ht="11.25" customHeight="1">
      <c r="C31" s="110" t="str">
        <f>+IF(Índice!$D$2=1,"Despesa de capital","Capital expenditure")</f>
        <v>Despesa de capital</v>
      </c>
      <c r="D31" s="83">
        <v>4087.2661099999991</v>
      </c>
      <c r="E31" s="83">
        <v>34870.345310000012</v>
      </c>
      <c r="F31" s="83">
        <v>38957.611420000008</v>
      </c>
    </row>
    <row r="32" spans="2:6" ht="11.25" customHeight="1">
      <c r="C32" s="104" t="str">
        <f>+IF(Índice!$D$2=1,"Investimento","Investment")</f>
        <v>Investimento</v>
      </c>
      <c r="D32" s="74">
        <v>1538.95048</v>
      </c>
      <c r="E32" s="74">
        <v>31965.780020000013</v>
      </c>
      <c r="F32" s="74">
        <v>33504.730500000012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2548.3156299999991</v>
      </c>
      <c r="E33" s="74">
        <v>2904.56529</v>
      </c>
      <c r="F33" s="74">
        <v>5452.8809199999996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455755.90163999982</v>
      </c>
      <c r="E36" s="83">
        <v>352334.88496</v>
      </c>
      <c r="F36" s="83">
        <v>808090.78659999976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5527.0044499999995</v>
      </c>
      <c r="E38" s="35">
        <v>564.20310000000006</v>
      </c>
      <c r="F38" s="35">
        <v>6091.2075499999992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9343.9929000000011</v>
      </c>
      <c r="F39" s="35">
        <v>9343.9929000000011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18602.767970000103</v>
      </c>
      <c r="E44" s="114">
        <v>18206.206249999872</v>
      </c>
      <c r="F44" s="114">
        <v>36808.974219999975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(outubro)","TABLE XII - ASFs and RPEs budget execution (october)")</f>
        <v>QUADRO XII - Execução orçamental dos Serviços e Fundos Autónomos e EPR (outubro)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34852.985379999809</v>
      </c>
      <c r="E5" s="317">
        <v>27898.821629999948</v>
      </c>
      <c r="F5" s="317">
        <v>62751.807009999757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34852.985379999809</v>
      </c>
      <c r="E9" s="74">
        <v>27898.821629999948</v>
      </c>
      <c r="F9" s="74">
        <v>62751.807009999757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33804.309329999807</v>
      </c>
      <c r="E10" s="74">
        <v>24760.370989999949</v>
      </c>
      <c r="F10" s="74">
        <v>58564.680319999752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382.08193999999969</v>
      </c>
      <c r="E11" s="83">
        <v>11759.219069999994</v>
      </c>
      <c r="F11" s="83">
        <v>12141.301009999994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377.55121999999972</v>
      </c>
      <c r="E13" s="34">
        <v>11757.028829999994</v>
      </c>
      <c r="F13" s="74">
        <v>12134.580049999993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35235.067319999805</v>
      </c>
      <c r="E15" s="83">
        <v>39658.04069999994</v>
      </c>
      <c r="F15" s="83">
        <v>74893.108019999752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31875.490849999922</v>
      </c>
      <c r="E17" s="83">
        <v>31365.858899999836</v>
      </c>
      <c r="F17" s="83">
        <v>63241.349749999761</v>
      </c>
    </row>
    <row r="18" spans="3:6" ht="11.25" customHeight="1">
      <c r="C18" s="104" t="str">
        <f>+IF(Índice!$D$2=1,"Consumo público","Public consumption")</f>
        <v>Consumo público</v>
      </c>
      <c r="D18" s="74">
        <v>5541.0505299999868</v>
      </c>
      <c r="E18" s="74">
        <v>30135.868589999842</v>
      </c>
      <c r="F18" s="74">
        <v>35676.919119999831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4403.3991199999673</v>
      </c>
      <c r="E19" s="74">
        <v>25174.272069999904</v>
      </c>
      <c r="F19" s="74">
        <v>29577.67118999987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1137.6514100000193</v>
      </c>
      <c r="E20" s="74">
        <v>4961.5965199999373</v>
      </c>
      <c r="F20" s="74">
        <v>6099.2479299999568</v>
      </c>
    </row>
    <row r="21" spans="3:6" ht="11.25" customHeight="1">
      <c r="C21" s="104" t="str">
        <f>+IF(Índice!$D$2=1,"Subsídios","Subsidies")</f>
        <v>Subsídios</v>
      </c>
      <c r="D21" s="74">
        <v>806.30021999999974</v>
      </c>
      <c r="E21" s="74">
        <v>0</v>
      </c>
      <c r="F21" s="74">
        <v>806.30021999999974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2.3698399999999964</v>
      </c>
      <c r="E22" s="74">
        <v>30.597430000000401</v>
      </c>
      <c r="F22" s="59">
        <v>32.967270000000397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25525.770259999932</v>
      </c>
      <c r="E23" s="74">
        <v>1199.3928799999933</v>
      </c>
      <c r="F23" s="59">
        <v>26725.163139999924</v>
      </c>
    </row>
    <row r="24" spans="3:6" ht="11.25" customHeight="1">
      <c r="C24" s="110" t="str">
        <f>+IF(Índice!$D$2=1,"Despesa de capital","Capital expenditure")</f>
        <v>Despesa de capital</v>
      </c>
      <c r="D24" s="83">
        <v>159.73801999999955</v>
      </c>
      <c r="E24" s="83">
        <v>10922.785419999998</v>
      </c>
      <c r="F24" s="83">
        <v>11082.523439999997</v>
      </c>
    </row>
    <row r="25" spans="3:6" ht="11.25" customHeight="1">
      <c r="C25" s="104" t="str">
        <f>+IF(Índice!$D$2=1,"Investimento","Investment")</f>
        <v>Investimento</v>
      </c>
      <c r="D25" s="74">
        <v>157.91658000000007</v>
      </c>
      <c r="E25" s="74">
        <v>8271.7854199999983</v>
      </c>
      <c r="F25" s="74">
        <v>8429.7019999999975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1.8214399999994784</v>
      </c>
      <c r="E26" s="74">
        <v>2651</v>
      </c>
      <c r="F26" s="74">
        <v>2652.8214399999993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32035.228869999923</v>
      </c>
      <c r="E29" s="83">
        <v>42288.644319999832</v>
      </c>
      <c r="F29" s="83">
        <v>74323.873189999751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3199.8384499998829</v>
      </c>
      <c r="E31" s="319">
        <v>-2630.6036199998925</v>
      </c>
      <c r="F31" s="319">
        <v>569.23482999999032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33" zoomScale="120" zoomScaleNormal="120" zoomScaleSheetLayoutView="100" zoomScalePageLayoutView="150" workbookViewId="0">
      <selection activeCell="H16" sqref="H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2024 (valores acumulados)","Table XIII- Accounts payable of the Regional Administration, october (accumulated)")</f>
        <v>QUADRO XIII - Contas a pagar, da Administração Regional, no final de outubro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1" t="s">
        <v>7</v>
      </c>
      <c r="D3" s="338" t="str">
        <f>+IF(Índice!$D$2=1,"outubro 2024","october 2024")</f>
        <v>outubro 2024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Variação face ao stock inicial de janeiro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Stock final do período</v>
      </c>
      <c r="E4" s="353"/>
      <c r="F4" s="353"/>
      <c r="G4" s="350" t="str">
        <f>+IF(Índice!$D$2=1,"Passivo","Liabilities")</f>
        <v>Passivo</v>
      </c>
      <c r="H4" s="350" t="str">
        <f>+IF(Índice!$D$2=1,"Contas a pagar","Accounts payable")</f>
        <v>Contas a pagar</v>
      </c>
      <c r="I4" s="339" t="str">
        <f>+IF(Índice!$D$2=1,"Pagamentos em atraso","Late payments")</f>
        <v>Pagamentos em atraso</v>
      </c>
    </row>
    <row r="5" spans="2:11" ht="22.5">
      <c r="B5" s="29"/>
      <c r="C5" s="341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1"/>
      <c r="H5" s="351"/>
      <c r="I5" s="340"/>
    </row>
    <row r="6" spans="2:11">
      <c r="B6" s="29"/>
      <c r="C6" s="119" t="str">
        <f>+IF(Índice!$D$2=1,"Despesa corrente","Current expenditure")</f>
        <v>Despesa corrente</v>
      </c>
      <c r="D6" s="162">
        <v>174697540.84000003</v>
      </c>
      <c r="E6" s="162">
        <v>161152464.66999999</v>
      </c>
      <c r="F6" s="162">
        <v>52620238.559999987</v>
      </c>
      <c r="G6" s="91">
        <v>3.8863103099953777E-2</v>
      </c>
      <c r="H6" s="91">
        <v>1.6214903673286374E-2</v>
      </c>
      <c r="I6" s="116">
        <v>0.40925814524174831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12657580.580000002</v>
      </c>
      <c r="E7" s="165">
        <v>12043055.060000001</v>
      </c>
      <c r="F7" s="165">
        <v>41924.310000000005</v>
      </c>
      <c r="G7" s="95">
        <v>8.9015021189079668</v>
      </c>
      <c r="H7" s="95">
        <v>15.669087814188483</v>
      </c>
      <c r="I7" s="121">
        <v>76.502699005434991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120112724.81</v>
      </c>
      <c r="E8" s="165">
        <v>119985429.75</v>
      </c>
      <c r="F8" s="165">
        <v>51020029.569999985</v>
      </c>
      <c r="G8" s="95">
        <v>0.18565767739145689</v>
      </c>
      <c r="H8" s="95">
        <v>0.19187703470977491</v>
      </c>
      <c r="I8" s="121">
        <v>0.42685010551232971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33125805.949999999</v>
      </c>
      <c r="E9" s="165">
        <v>27901773.289999999</v>
      </c>
      <c r="F9" s="165">
        <v>1475360.9700000007</v>
      </c>
      <c r="G9" s="95">
        <v>2.1472873125101097</v>
      </c>
      <c r="H9" s="95">
        <v>4.2273965560690421</v>
      </c>
      <c r="I9" s="121">
        <v>3.5831069366478214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8759652.4299999997</v>
      </c>
      <c r="E10" s="165">
        <v>1184111.1300000001</v>
      </c>
      <c r="F10" s="165">
        <v>82872.710000000006</v>
      </c>
      <c r="G10" s="95">
        <v>-0.83531798513836919</v>
      </c>
      <c r="H10" s="95">
        <v>-0.97631571917441717</v>
      </c>
      <c r="I10" s="121">
        <v>-0.93418331684157951</v>
      </c>
    </row>
    <row r="11" spans="2:11">
      <c r="B11" s="29"/>
      <c r="C11" s="120" t="str">
        <f>+IF(Índice!$D$2=1,"Subsídios","Subsidies")</f>
        <v>Subsídios</v>
      </c>
      <c r="D11" s="165">
        <v>15700.02</v>
      </c>
      <c r="E11" s="165">
        <v>15700.02</v>
      </c>
      <c r="F11" s="165">
        <v>0</v>
      </c>
      <c r="G11" s="95">
        <v>-0.99151212202317862</v>
      </c>
      <c r="H11" s="95">
        <v>-0.99151212202317862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26077.05</v>
      </c>
      <c r="E12" s="165">
        <v>22395.42</v>
      </c>
      <c r="F12" s="165">
        <v>51</v>
      </c>
      <c r="G12" s="95">
        <v>1.0126988806955093</v>
      </c>
      <c r="H12" s="95">
        <v>2.5275488602426943</v>
      </c>
      <c r="I12" s="121">
        <v>-0.80384615384615388</v>
      </c>
    </row>
    <row r="13" spans="2:11">
      <c r="B13" s="29"/>
      <c r="C13" s="115" t="str">
        <f>+IF(Índice!$D$2=1,"Despesa de capital","Capital expenditure")</f>
        <v>Despesa de capital</v>
      </c>
      <c r="D13" s="163">
        <v>41374939.149999999</v>
      </c>
      <c r="E13" s="163">
        <v>26448218.110000003</v>
      </c>
      <c r="F13" s="163">
        <v>239975.72</v>
      </c>
      <c r="G13" s="92">
        <v>-0.11285179389067057</v>
      </c>
      <c r="H13" s="92">
        <v>-0.15970816793503362</v>
      </c>
      <c r="I13" s="117">
        <v>-0.16787872769099876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22078169.969999999</v>
      </c>
      <c r="E14" s="165">
        <v>13155382.470000003</v>
      </c>
      <c r="F14" s="165">
        <v>239975.72</v>
      </c>
      <c r="G14" s="95">
        <v>-0.1081911297146676</v>
      </c>
      <c r="H14" s="95">
        <v>-0.16642933594366971</v>
      </c>
      <c r="I14" s="121">
        <v>-0.16787872769099876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19296769.18</v>
      </c>
      <c r="E15" s="165">
        <v>13292835.640000001</v>
      </c>
      <c r="F15" s="165">
        <v>0</v>
      </c>
      <c r="G15" s="95">
        <v>-0.11812484041813809</v>
      </c>
      <c r="H15" s="95">
        <v>-0.15294892945962291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216072479.99000001</v>
      </c>
      <c r="E17" s="164">
        <v>187600682.77999997</v>
      </c>
      <c r="F17" s="164">
        <v>52860214.279999986</v>
      </c>
      <c r="G17" s="147">
        <v>5.9222844145314646E-3</v>
      </c>
      <c r="H17" s="147">
        <v>-1.2919571628439597E-2</v>
      </c>
      <c r="I17" s="148">
        <v>0.40483474922216067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112202991.21999998</v>
      </c>
      <c r="E19" s="164">
        <v>83743677.949999943</v>
      </c>
      <c r="F19" s="164">
        <v>2146224.3100000005</v>
      </c>
      <c r="G19" s="147">
        <v>-0.19333017099055894</v>
      </c>
      <c r="H19" s="147">
        <v>-0.26773360029736826</v>
      </c>
      <c r="I19" s="148">
        <v>-0.49276023048154383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2024 (valores acumulados)","Table XIV - Accounts payable of the Regional Gov., october (accumulated)")</f>
        <v>QUADRO XIV - Contas a pagar, do Governo Regional, no final de outubro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1" t="str">
        <f>+IF(Índice!$D$2=1,"Governo Regional","Regional Government")</f>
        <v>Governo Regional</v>
      </c>
      <c r="D24" s="338" t="str">
        <f>+IF(Índice!$D$2=1,"outubro 2024","october 2024")</f>
        <v>outubro 2024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Variação face ao stock inicial de janeiro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Stock final do período</v>
      </c>
      <c r="E25" s="353"/>
      <c r="F25" s="353"/>
      <c r="G25" s="350" t="str">
        <f>+IF(Índice!$D$2=1,"Passivo","Liabilities")</f>
        <v>Passivo</v>
      </c>
      <c r="H25" s="350" t="str">
        <f>+IF(Índice!$D$2=1,"Contas a pagar","Accounts payable")</f>
        <v>Contas a pagar</v>
      </c>
      <c r="I25" s="339" t="str">
        <f>+IF(Índice!$D$2=1,"Pagamentos em atraso","Late payments")</f>
        <v>Pagamentos em atraso</v>
      </c>
    </row>
    <row r="26" spans="2:9" ht="22.5">
      <c r="B26" s="29"/>
      <c r="C26" s="341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41726230.660000004</v>
      </c>
      <c r="E27" s="162">
        <v>34797321.399999999</v>
      </c>
      <c r="F27" s="162">
        <v>1053278.0699999998</v>
      </c>
      <c r="G27" s="91">
        <v>2.4756464463202135</v>
      </c>
      <c r="H27" s="91">
        <v>2.7541547842612073</v>
      </c>
      <c r="I27" s="116">
        <v>-1.3679069939294131E-3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27198044.949999999</v>
      </c>
      <c r="E28" s="163">
        <v>20988458.91</v>
      </c>
      <c r="F28" s="163">
        <v>630</v>
      </c>
      <c r="G28" s="92">
        <v>-0.18155430925543181</v>
      </c>
      <c r="H28" s="172">
        <v>-0.21642093792970718</v>
      </c>
      <c r="I28" s="117">
        <v>0</v>
      </c>
    </row>
    <row r="29" spans="2:9" ht="20.100000000000001" customHeight="1">
      <c r="B29" s="29"/>
      <c r="C29" s="146" t="s">
        <v>7</v>
      </c>
      <c r="D29" s="164">
        <v>68924275.609999999</v>
      </c>
      <c r="E29" s="164">
        <v>55785780.310000002</v>
      </c>
      <c r="F29" s="164">
        <v>1053908.0699999998</v>
      </c>
      <c r="G29" s="147">
        <v>0.52363784099750732</v>
      </c>
      <c r="H29" s="147">
        <v>0.54726730132765189</v>
      </c>
      <c r="I29" s="148">
        <v>-1.3670904110626436E-3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outubro de 2024 (valores acumulados)","Table XV - Accounts payable of the ASFs, october (accumulated)")</f>
        <v>QUADRO XV - Contas a pagar, dos Serviços e Fundos Autónomos, no final de outubro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2" t="str">
        <f>+IF(Índice!$D$2=1,"Serviços e Fundos Autónomos","Autonomous Services and Funds")</f>
        <v>Serviços e Fundos Autónomos</v>
      </c>
      <c r="D33" s="338" t="str">
        <f>+IF(Índice!$D$2=1,"outubro 2024","october 2024")</f>
        <v>outubro 2024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Variação face ao stock inicial de janeiro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Stock final do período</v>
      </c>
      <c r="E34" s="348"/>
      <c r="F34" s="349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39" t="str">
        <f>+IF(Índice!$D$2=1,"Pagamentos em atraso","Late payments")</f>
        <v>Pagamentos em atraso</v>
      </c>
    </row>
    <row r="35" spans="2:9" ht="22.5">
      <c r="C35" s="344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Despesa corrente</v>
      </c>
      <c r="D36" s="162">
        <v>27901502.390000001</v>
      </c>
      <c r="E36" s="162">
        <v>25584940.66</v>
      </c>
      <c r="F36" s="162">
        <v>1092316.24</v>
      </c>
      <c r="G36" s="91">
        <v>-0.63084010939905399</v>
      </c>
      <c r="H36" s="91">
        <v>-0.6496052389917979</v>
      </c>
      <c r="I36" s="116">
        <v>-0.64686555798476053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226501.73</v>
      </c>
      <c r="E37" s="163">
        <v>226501.73</v>
      </c>
      <c r="F37" s="163">
        <v>0</v>
      </c>
      <c r="G37" s="92">
        <v>-0.39558060990440747</v>
      </c>
      <c r="H37" s="92">
        <v>-0.39558060990440747</v>
      </c>
      <c r="I37" s="117">
        <v>-1</v>
      </c>
    </row>
    <row r="38" spans="2:9" ht="20.100000000000001" customHeight="1">
      <c r="C38" s="146" t="s">
        <v>7</v>
      </c>
      <c r="D38" s="164">
        <v>28128004.120000001</v>
      </c>
      <c r="E38" s="164">
        <v>25811442.390000001</v>
      </c>
      <c r="F38" s="164">
        <v>1092316.24</v>
      </c>
      <c r="G38" s="147">
        <v>-0.62967941137529992</v>
      </c>
      <c r="H38" s="147">
        <v>-0.64830818232284193</v>
      </c>
      <c r="I38" s="148">
        <v>-0.65605354194704135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outubro de 2024 (valores acumulados)","Table XVI - Accounts payable of the RPEs, october (accumulated)")</f>
        <v>QUADRO XVI - Contas a pagar, das Entidades Públicas Reclassseicadas, no final de outubro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2" t="str">
        <f>+IF(Índice!$D$2=1,"Entidades Públicas Reclassseicadas","Reclassseied Public Entities")</f>
        <v>Entidades Públicas Reclassseicadas</v>
      </c>
      <c r="D42" s="338" t="str">
        <f>+IF(Índice!$D$2=1,"outubro 2024","october 2024")</f>
        <v>outubro 2024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Variação face ao stock inicial de janeiro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Stock final do período</v>
      </c>
      <c r="E43" s="348"/>
      <c r="F43" s="349"/>
      <c r="G43" s="350" t="str">
        <f>+IF(Índice!$D$2=1,"Passivo","Liabilities")</f>
        <v>Passivo</v>
      </c>
      <c r="H43" s="350" t="str">
        <f>+IF(Índice!$D$2=1,"Contas a pagar","Accounts payable")</f>
        <v>Contas a pagar</v>
      </c>
      <c r="I43" s="339" t="str">
        <f>+IF(Índice!$D$2=1,"Pagamentos em atraso","Late payments")</f>
        <v>Pagamentos em atraso</v>
      </c>
    </row>
    <row r="44" spans="2:9" ht="22.5">
      <c r="C44" s="344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Despesa corrente</v>
      </c>
      <c r="D45" s="162">
        <v>105069807.79000001</v>
      </c>
      <c r="E45" s="162">
        <v>100770202.60999998</v>
      </c>
      <c r="F45" s="162">
        <v>50474644.249999985</v>
      </c>
      <c r="G45" s="91">
        <v>0.3039864738852911</v>
      </c>
      <c r="H45" s="91">
        <v>0.32080392522625401</v>
      </c>
      <c r="I45" s="116">
        <v>0.52073099981237569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13950392.470000001</v>
      </c>
      <c r="E46" s="163">
        <v>5233257.4700000016</v>
      </c>
      <c r="F46" s="163">
        <v>239345.72</v>
      </c>
      <c r="G46" s="92">
        <v>7.0467472862124403E-2</v>
      </c>
      <c r="H46" s="92">
        <v>0.21282799777726713</v>
      </c>
      <c r="I46" s="117">
        <v>0.16679829842812621</v>
      </c>
    </row>
    <row r="47" spans="2:9" ht="20.100000000000001" customHeight="1">
      <c r="C47" s="146" t="s">
        <v>7</v>
      </c>
      <c r="D47" s="164">
        <v>119020200.26000001</v>
      </c>
      <c r="E47" s="164">
        <v>106003460.07999998</v>
      </c>
      <c r="F47" s="164">
        <v>50713989.969999984</v>
      </c>
      <c r="G47" s="147">
        <v>0.27147604635417877</v>
      </c>
      <c r="H47" s="147">
        <v>0.31502411595802693</v>
      </c>
      <c r="I47" s="148">
        <v>0.51855702806761794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opLeftCell="A4" zoomScale="85" zoomScaleNormal="85" workbookViewId="0">
      <selection activeCell="J11" sqref="J1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65</v>
      </c>
      <c r="D10" s="170"/>
      <c r="E10" s="169"/>
    </row>
    <row r="11" spans="2:5">
      <c r="B11" s="195"/>
      <c r="C11" s="170" t="s">
        <v>79</v>
      </c>
      <c r="D11" s="170"/>
      <c r="E11" s="169"/>
    </row>
    <row r="12" spans="2:5">
      <c r="B12" s="195"/>
      <c r="C12" s="170" t="s">
        <v>66</v>
      </c>
      <c r="D12" s="170"/>
      <c r="E12" s="169"/>
    </row>
    <row r="13" spans="2:5">
      <c r="B13" s="195"/>
      <c r="C13" s="170" t="s">
        <v>67</v>
      </c>
      <c r="D13" s="170"/>
      <c r="E13" s="169"/>
    </row>
    <row r="14" spans="2:5">
      <c r="B14" s="195"/>
      <c r="C14" s="170" t="s">
        <v>68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69</v>
      </c>
      <c r="D17" s="171"/>
      <c r="E17" s="169"/>
    </row>
    <row r="18" spans="2:5">
      <c r="B18" s="195"/>
      <c r="C18" s="170" t="s">
        <v>87</v>
      </c>
      <c r="D18" s="170"/>
      <c r="E18" s="169"/>
    </row>
    <row r="19" spans="2:5">
      <c r="B19" s="195"/>
      <c r="C19" s="170" t="s">
        <v>84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88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70</v>
      </c>
      <c r="D23" s="170"/>
      <c r="E23" s="169"/>
    </row>
    <row r="24" spans="2:5">
      <c r="B24" s="195"/>
      <c r="C24" s="170" t="s">
        <v>71</v>
      </c>
      <c r="D24" s="170"/>
      <c r="E24" s="169"/>
    </row>
    <row r="25" spans="2:5">
      <c r="B25" s="195"/>
      <c r="C25" s="170" t="s">
        <v>89</v>
      </c>
      <c r="D25" s="170"/>
      <c r="E25" s="169"/>
    </row>
    <row r="26" spans="2:5">
      <c r="B26" s="195"/>
      <c r="C26" s="170" t="s">
        <v>72</v>
      </c>
      <c r="D26" s="170"/>
      <c r="E26" s="169"/>
    </row>
    <row r="27" spans="2:5">
      <c r="B27" s="195"/>
      <c r="C27" s="170" t="s">
        <v>73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85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74</v>
      </c>
      <c r="D31" s="170"/>
      <c r="E31" s="169"/>
    </row>
    <row r="32" spans="2:5">
      <c r="B32" s="55"/>
      <c r="C32" s="170" t="s">
        <v>58</v>
      </c>
      <c r="D32" s="170"/>
      <c r="E32" s="169"/>
    </row>
    <row r="33" spans="2:5">
      <c r="B33" s="55"/>
      <c r="C33" s="170" t="s">
        <v>75</v>
      </c>
      <c r="D33" s="170"/>
      <c r="E33" s="169"/>
    </row>
    <row r="34" spans="2:5">
      <c r="B34" s="55"/>
      <c r="C34" s="170" t="s">
        <v>59</v>
      </c>
      <c r="D34" s="170"/>
      <c r="E34" s="169"/>
    </row>
    <row r="35" spans="2:5">
      <c r="B35" s="55"/>
      <c r="C35" s="170" t="s">
        <v>76</v>
      </c>
      <c r="D35" s="170"/>
      <c r="E35" s="169"/>
    </row>
    <row r="36" spans="2:5">
      <c r="B36" s="55"/>
      <c r="C36" s="170" t="s">
        <v>60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61</v>
      </c>
      <c r="D38" s="170"/>
      <c r="E38" s="169"/>
    </row>
    <row r="39" spans="2:5">
      <c r="B39" s="55"/>
      <c r="C39" s="170" t="s">
        <v>62</v>
      </c>
      <c r="D39" s="170"/>
      <c r="E39" s="169"/>
    </row>
    <row r="40" spans="2:5">
      <c r="B40" s="55"/>
      <c r="C40" s="170" t="s">
        <v>50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63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86</v>
      </c>
      <c r="D47" s="170"/>
      <c r="E47" s="169"/>
    </row>
    <row r="48" spans="2:5">
      <c r="B48" s="55"/>
      <c r="C48" s="170" t="s">
        <v>28</v>
      </c>
      <c r="D48" s="170"/>
      <c r="E48" s="169"/>
    </row>
    <row r="49" spans="2:5">
      <c r="B49" s="55"/>
      <c r="C49" s="171" t="s">
        <v>91</v>
      </c>
      <c r="D49" s="170"/>
      <c r="E49" s="169"/>
    </row>
    <row r="50" spans="2:5">
      <c r="B50" s="55"/>
      <c r="C50" s="170" t="s">
        <v>29</v>
      </c>
      <c r="D50" s="171"/>
      <c r="E50" s="169"/>
    </row>
    <row r="51" spans="2:5">
      <c r="B51" s="55"/>
      <c r="C51" s="170" t="s">
        <v>77</v>
      </c>
      <c r="D51" s="170"/>
      <c r="E51" s="169"/>
    </row>
    <row r="52" spans="2:5">
      <c r="B52" s="55"/>
      <c r="C52" s="170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90</v>
      </c>
    </row>
    <row r="56" spans="2:5">
      <c r="B56" s="55"/>
      <c r="C56" s="171" t="s">
        <v>92</v>
      </c>
    </row>
    <row r="57" spans="2:5">
      <c r="B57" s="55"/>
      <c r="C57" s="170" t="s">
        <v>53</v>
      </c>
    </row>
    <row r="58" spans="2:5">
      <c r="B58" s="55"/>
      <c r="C58" s="170" t="s">
        <v>52</v>
      </c>
    </row>
    <row r="59" spans="2:5">
      <c r="B59" s="55"/>
      <c r="C59" s="171" t="s">
        <v>33</v>
      </c>
    </row>
    <row r="60" spans="2:5">
      <c r="B60" s="55"/>
      <c r="C60" s="170" t="s">
        <v>78</v>
      </c>
    </row>
    <row r="61" spans="2:5">
      <c r="B61" s="55"/>
      <c r="C61" s="170" t="s">
        <v>34</v>
      </c>
    </row>
    <row r="62" spans="2:5">
      <c r="B62" s="55"/>
      <c r="C62" s="170" t="s">
        <v>35</v>
      </c>
    </row>
    <row r="63" spans="2:5">
      <c r="B63" s="55"/>
      <c r="C63" s="170" t="s">
        <v>36</v>
      </c>
    </row>
    <row r="64" spans="2:5">
      <c r="B64" s="55"/>
      <c r="C64" s="171" t="s">
        <v>93</v>
      </c>
    </row>
    <row r="65" spans="2:3">
      <c r="B65" s="55"/>
      <c r="C65" s="170" t="s">
        <v>80</v>
      </c>
    </row>
    <row r="66" spans="2:3">
      <c r="B66" s="55"/>
      <c r="C66" s="170" t="s">
        <v>32</v>
      </c>
    </row>
    <row r="67" spans="2:3">
      <c r="B67" s="55"/>
      <c r="C67" s="323" t="s">
        <v>21</v>
      </c>
    </row>
    <row r="68" spans="2:3">
      <c r="B68" s="55"/>
      <c r="C68" s="275"/>
    </row>
    <row r="69" spans="2:3">
      <c r="B69" s="55"/>
      <c r="C69" s="171"/>
    </row>
    <row r="70" spans="2:3" hidden="1">
      <c r="B70" s="55"/>
      <c r="C70" s="170"/>
    </row>
    <row r="71" spans="2:3" hidden="1">
      <c r="B71" s="55"/>
      <c r="C71" s="171"/>
    </row>
    <row r="72" spans="2:3" hidden="1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 hidden="1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94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83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64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92</v>
      </c>
    </row>
    <row r="100" spans="2:3">
      <c r="B100" s="55"/>
      <c r="C100" s="170" t="s">
        <v>81</v>
      </c>
    </row>
    <row r="101" spans="2:3">
      <c r="B101" s="55"/>
      <c r="C101" s="171" t="s">
        <v>92</v>
      </c>
    </row>
    <row r="102" spans="2:3">
      <c r="B102" s="55"/>
      <c r="C102" s="170" t="s">
        <v>82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49</v>
      </c>
    </row>
    <row r="110" spans="2:3">
      <c r="B110" s="55"/>
      <c r="C110" s="171" t="s">
        <v>93</v>
      </c>
    </row>
    <row r="111" spans="2:3">
      <c r="B111" s="55"/>
      <c r="C111" s="170" t="s">
        <v>44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0" sqref="C1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(janeiro-outubro)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(janeiro-outubro)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(outubro)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(janeiro-outubro)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(janeiro-outubro)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(janeiro-outubro)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(janeiro-outubro)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(janeiro-outubro)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(janeiro-outubro)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(janeiro-outubro)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(janeiro-outubro)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(outubro)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outubro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outubro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outubro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outubro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L13" sqref="L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QUADRO I - Execução orçamental consolidada (janeiro-outubro)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1293691.1931499997</v>
      </c>
      <c r="E5" s="57">
        <v>467673.11926999991</v>
      </c>
      <c r="F5" s="57">
        <v>333966.16979999986</v>
      </c>
      <c r="G5" s="57">
        <v>1408735.8126699994</v>
      </c>
      <c r="H5" s="57">
        <v>13.630828653810557</v>
      </c>
    </row>
    <row r="6" spans="1:10" ht="11.25" customHeight="1">
      <c r="C6" s="68" t="str">
        <f>+IF(Índice!$D$2=1,"Impostos diretos","Direct taxes")</f>
        <v>Impostos diretos</v>
      </c>
      <c r="D6" s="56">
        <v>401643.57637999998</v>
      </c>
      <c r="E6" s="56">
        <v>0</v>
      </c>
      <c r="F6" s="56">
        <v>0</v>
      </c>
      <c r="G6" s="56">
        <v>401643.57637999998</v>
      </c>
      <c r="H6" s="56">
        <v>14.637088743575299</v>
      </c>
    </row>
    <row r="7" spans="1:10">
      <c r="C7" s="68" t="str">
        <f>+IF(Índice!$D$2=1,"Impostos indiretos","Indirect taxes")</f>
        <v>Impostos indiretos</v>
      </c>
      <c r="D7" s="56">
        <v>643036.60450999986</v>
      </c>
      <c r="E7" s="56">
        <v>0</v>
      </c>
      <c r="F7" s="56">
        <v>0</v>
      </c>
      <c r="G7" s="56">
        <v>643036.60450999986</v>
      </c>
      <c r="H7" s="56">
        <v>10.612888231385821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249011.01225999999</v>
      </c>
      <c r="E9" s="56">
        <v>467673.11926999991</v>
      </c>
      <c r="F9" s="56">
        <v>333966.16979999986</v>
      </c>
      <c r="G9" s="56">
        <v>337075.61404999974</v>
      </c>
      <c r="H9" s="56">
        <v>12.755467986084179</v>
      </c>
    </row>
    <row r="10" spans="1:10">
      <c r="C10" s="69" t="str">
        <f>+IF(Índice!$D$2=1,"Transferências correntes","Current transfers")</f>
        <v>Transferências correntes</v>
      </c>
      <c r="D10" s="56">
        <v>207680.11513999998</v>
      </c>
      <c r="E10" s="56">
        <v>458354.13462999993</v>
      </c>
      <c r="F10" s="56">
        <v>295081.55061999988</v>
      </c>
      <c r="G10" s="56">
        <v>247545.43606999994</v>
      </c>
      <c r="H10" s="56">
        <v>13.309022196014709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203672.26699999999</v>
      </c>
      <c r="E11" s="56">
        <v>1367.7683200000001</v>
      </c>
      <c r="F11" s="56">
        <v>10.290649999999999</v>
      </c>
      <c r="G11" s="56">
        <v>205050.32597000001</v>
      </c>
      <c r="H11" s="56">
        <v>8.0007538125663515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422268.6628799999</v>
      </c>
      <c r="F12" s="56">
        <v>291301.70143999998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26980.017729999974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127004.77843999998</v>
      </c>
      <c r="E14" s="57">
        <v>6685.5503399999998</v>
      </c>
      <c r="F14" s="57">
        <v>36574.921409999995</v>
      </c>
      <c r="G14" s="57">
        <v>153342.05739999999</v>
      </c>
      <c r="H14" s="57">
        <v>57.166544768465101</v>
      </c>
    </row>
    <row r="15" spans="1:10">
      <c r="C15" s="68" t="str">
        <f>+IF(Índice!$D$2=1,"Venda de bens de investimento","Sale of investment goods")</f>
        <v>Venda de bens de investimento</v>
      </c>
      <c r="D15" s="56">
        <v>1176.5745399999998</v>
      </c>
      <c r="E15" s="56">
        <v>0</v>
      </c>
      <c r="F15" s="56">
        <v>236.27903000000001</v>
      </c>
      <c r="G15" s="56">
        <v>1412.8535699999998</v>
      </c>
      <c r="H15" s="56">
        <v>-82.685970236389807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119056.25698999998</v>
      </c>
      <c r="E16" s="56">
        <v>6641.8051699999996</v>
      </c>
      <c r="F16" s="56">
        <v>35622.29883</v>
      </c>
      <c r="G16" s="56">
        <v>144397.16819999999</v>
      </c>
      <c r="H16" s="56">
        <v>68.743584720612944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108288.49748000001</v>
      </c>
      <c r="E17" s="56">
        <v>41.051360000000003</v>
      </c>
      <c r="F17" s="56">
        <v>0</v>
      </c>
      <c r="G17" s="56">
        <v>108329.54884</v>
      </c>
      <c r="H17" s="56">
        <v>104.42234592129731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2293.1322599999999</v>
      </c>
      <c r="F18" s="56">
        <v>14630.060530000001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1420695.9715899997</v>
      </c>
      <c r="E20" s="57">
        <v>474358.66960999992</v>
      </c>
      <c r="F20" s="57">
        <v>370541.09120999987</v>
      </c>
      <c r="G20" s="57">
        <v>1562077.8700699995</v>
      </c>
      <c r="H20" s="57">
        <v>16.807068710677076</v>
      </c>
    </row>
    <row r="21" spans="3:8" ht="20.25" customHeight="1">
      <c r="C21" s="220" t="str">
        <f>+IF(Índice!$D$2=1,"Despesa corrente","Current expenditure")</f>
        <v>Despesa corrente</v>
      </c>
      <c r="D21" s="220">
        <v>1107795.3891799995</v>
      </c>
      <c r="E21" s="220">
        <v>451668.63552999985</v>
      </c>
      <c r="F21" s="220">
        <v>317464.53965000005</v>
      </c>
      <c r="G21" s="220">
        <v>1190336.0562899995</v>
      </c>
      <c r="H21" s="220">
        <v>8.3603105539447711</v>
      </c>
    </row>
    <row r="22" spans="3:8" ht="10.5" customHeight="1">
      <c r="C22" s="68" t="str">
        <f>+IF(Índice!$D$2=1,"Consumo público","Public consumption")</f>
        <v>Consumo público</v>
      </c>
      <c r="D22" s="56">
        <v>517990.41533999925</v>
      </c>
      <c r="E22" s="56">
        <v>131984.98772</v>
      </c>
      <c r="F22" s="56">
        <v>305210.18819000002</v>
      </c>
      <c r="G22" s="56">
        <v>955185.59124999924</v>
      </c>
      <c r="H22" s="56">
        <v>8.7839882169451489</v>
      </c>
    </row>
    <row r="23" spans="3:8">
      <c r="C23" s="69" t="str">
        <f>+IF(Índice!$D$2=1,"Despesas com o pessoal","Compensation of employees")</f>
        <v>Despesas com o pessoal</v>
      </c>
      <c r="D23" s="56">
        <v>375486.00169999915</v>
      </c>
      <c r="E23" s="56">
        <v>46316.142369999965</v>
      </c>
      <c r="F23" s="56">
        <v>216645.31727999993</v>
      </c>
      <c r="G23" s="56">
        <v>638447.46134999907</v>
      </c>
      <c r="H23" s="56">
        <v>7.8469928874625339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142504.4136400001</v>
      </c>
      <c r="E24" s="56">
        <v>85668.845350000032</v>
      </c>
      <c r="F24" s="56">
        <v>88564.870910000056</v>
      </c>
      <c r="G24" s="56">
        <v>316738.12990000017</v>
      </c>
      <c r="H24" s="56">
        <v>10.723052707251423</v>
      </c>
    </row>
    <row r="25" spans="3:8">
      <c r="C25" s="68" t="str">
        <f>+IF(Índice!$D$2=1,"Subsídios","Subsidies")</f>
        <v>Subsídios</v>
      </c>
      <c r="D25" s="56">
        <v>24324.893389999997</v>
      </c>
      <c r="E25" s="56">
        <v>5197.5234600000003</v>
      </c>
      <c r="F25" s="56">
        <v>0</v>
      </c>
      <c r="G25" s="56">
        <v>29518.093889999996</v>
      </c>
      <c r="H25" s="56">
        <v>29.098974031612702</v>
      </c>
    </row>
    <row r="26" spans="3:8">
      <c r="C26" s="68" t="str">
        <f>+IF(Índice!$D$2=1,"Juros e outros encargos","Interests and other charges")</f>
        <v>Juros e outros encargos</v>
      </c>
      <c r="D26" s="56">
        <v>93837.665819999995</v>
      </c>
      <c r="E26" s="56">
        <v>21.245719999999999</v>
      </c>
      <c r="F26" s="56">
        <v>1271.6698600000004</v>
      </c>
      <c r="G26" s="56">
        <v>95130.581399999995</v>
      </c>
      <c r="H26" s="56">
        <v>4.6370119363008833</v>
      </c>
    </row>
    <row r="27" spans="3:8">
      <c r="C27" s="68" t="str">
        <f>+IF(Índice!$D$2=1,"Transferências correntes","Current transfers")</f>
        <v>Transferências correntes</v>
      </c>
      <c r="D27" s="56">
        <v>471642.41463000036</v>
      </c>
      <c r="E27" s="56">
        <v>314464.87862999982</v>
      </c>
      <c r="F27" s="56">
        <v>10982.681599999998</v>
      </c>
      <c r="G27" s="56">
        <v>110501.78975000023</v>
      </c>
      <c r="H27" s="56">
        <v>3.6004539824753712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117.78400000000001</v>
      </c>
      <c r="E28" s="56">
        <v>2105.73522</v>
      </c>
      <c r="F28" s="56">
        <v>0</v>
      </c>
      <c r="G28" s="56">
        <v>2223.5192200000001</v>
      </c>
      <c r="H28" s="56">
        <v>2.1292438152045401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404871.68956999999</v>
      </c>
      <c r="E29" s="56">
        <v>281716.49553999997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114742.11581000003</v>
      </c>
      <c r="E31" s="57">
        <v>4087.2661099999991</v>
      </c>
      <c r="F31" s="57">
        <v>34870.345310000012</v>
      </c>
      <c r="G31" s="57">
        <v>136776.53444000005</v>
      </c>
      <c r="H31" s="57">
        <v>1.027234429520596</v>
      </c>
    </row>
    <row r="32" spans="3:8">
      <c r="C32" s="68" t="str">
        <f>+IF(Índice!$D$2=1,"Investimento","Investment")</f>
        <v>Investimento</v>
      </c>
      <c r="D32" s="56">
        <v>84169.088040000031</v>
      </c>
      <c r="E32" s="56">
        <v>1538.95048</v>
      </c>
      <c r="F32" s="56">
        <v>31965.780020000013</v>
      </c>
      <c r="G32" s="56">
        <v>117673.81854000004</v>
      </c>
      <c r="H32" s="56">
        <v>11.571837940776209</v>
      </c>
    </row>
    <row r="33" spans="3:8">
      <c r="C33" s="68" t="str">
        <f>+IF(Índice!$D$2=1,"Transferências capital","Capital transfers")</f>
        <v>Transferências capital</v>
      </c>
      <c r="D33" s="56">
        <v>30573.027770000001</v>
      </c>
      <c r="E33" s="56">
        <v>2548.3156299999991</v>
      </c>
      <c r="F33" s="56">
        <v>2904.56529</v>
      </c>
      <c r="G33" s="56">
        <v>17572.813269999999</v>
      </c>
      <c r="H33" s="56">
        <v>-41.244643348981967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7867.2266</v>
      </c>
      <c r="E34" s="56">
        <v>0.83492000000000011</v>
      </c>
      <c r="F34" s="56">
        <v>0</v>
      </c>
      <c r="G34" s="56">
        <v>7868.0615200000002</v>
      </c>
      <c r="H34" s="56">
        <v>17.62831582891269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15853.09542</v>
      </c>
      <c r="E35" s="56">
        <v>0</v>
      </c>
      <c r="F35" s="56">
        <v>2600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1222537.5049899998</v>
      </c>
      <c r="E38" s="86">
        <v>455755.90163999982</v>
      </c>
      <c r="F38" s="86">
        <v>352334.88496</v>
      </c>
      <c r="G38" s="86">
        <v>1327112.5907299996</v>
      </c>
      <c r="H38" s="86">
        <v>7.5557013584096611</v>
      </c>
    </row>
    <row r="39" spans="3:8" ht="17.25" customHeight="1">
      <c r="C39" s="138" t="str">
        <f>+IF(Índice!$D$2=1,"Saldo global","Overall balance")</f>
        <v>Saldo global</v>
      </c>
      <c r="D39" s="139">
        <v>198158.46659999993</v>
      </c>
      <c r="E39" s="139">
        <v>18602.767970000103</v>
      </c>
      <c r="F39" s="139">
        <v>18206.206249999872</v>
      </c>
      <c r="G39" s="139">
        <v>234965.27933999989</v>
      </c>
      <c r="H39" s="139">
        <v>127.17213431980574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185895.80397000024</v>
      </c>
      <c r="E41" s="19">
        <v>16004.483740000054</v>
      </c>
      <c r="F41" s="19">
        <v>16501.630149999808</v>
      </c>
      <c r="G41" s="19">
        <v>218399.75637999992</v>
      </c>
      <c r="H41" s="19">
        <v>54.619619584068623</v>
      </c>
    </row>
    <row r="42" spans="3:8">
      <c r="C42" s="68" t="str">
        <f>+IF(Índice!$D$2=1,"Despesa corrente primária","Primary current expenditure")</f>
        <v>Despesa corrente primária</v>
      </c>
      <c r="D42" s="19">
        <v>1013957.7233599995</v>
      </c>
      <c r="E42" s="19">
        <v>451647.38980999985</v>
      </c>
      <c r="F42" s="19">
        <v>316192.86979000003</v>
      </c>
      <c r="G42" s="19">
        <v>1095205.4748899995</v>
      </c>
      <c r="H42" s="19">
        <v>8.6962660187841259</v>
      </c>
    </row>
    <row r="43" spans="3:8">
      <c r="C43" s="68" t="str">
        <f>+IF(Índice!$D$2=1,"Saldo corrente primário","Primary current balance")</f>
        <v>Saldo corrente primário</v>
      </c>
      <c r="D43" s="19">
        <v>279733.46979000024</v>
      </c>
      <c r="E43" s="19">
        <v>16025.72946000006</v>
      </c>
      <c r="F43" s="19">
        <v>17773.300009999832</v>
      </c>
      <c r="G43" s="19">
        <v>313530.33777999994</v>
      </c>
      <c r="H43" s="19">
        <v>35.046600574110954</v>
      </c>
    </row>
    <row r="44" spans="3:8">
      <c r="C44" s="68" t="str">
        <f>+IF(Índice!$D$2=1,"Saldo de capital","Capital balance")</f>
        <v>Saldo de capital</v>
      </c>
      <c r="D44" s="19">
        <v>12262.662629999948</v>
      </c>
      <c r="E44" s="19">
        <v>2598.2842300000007</v>
      </c>
      <c r="F44" s="19">
        <v>1704.5760999999839</v>
      </c>
      <c r="G44" s="19">
        <v>16565.522959999944</v>
      </c>
      <c r="H44" s="19">
        <v>143.80188308739665</v>
      </c>
    </row>
    <row r="45" spans="3:8">
      <c r="C45" s="68" t="str">
        <f t="array" ref="C45">+IF(Índice!$D$2=1,"Despesa primária","Primary expenditure")</f>
        <v>Despesa primária</v>
      </c>
      <c r="D45" s="19">
        <v>1128699.8391699998</v>
      </c>
      <c r="E45" s="19">
        <v>455734.65591999982</v>
      </c>
      <c r="F45" s="19">
        <v>351063.21509999997</v>
      </c>
      <c r="G45" s="19">
        <v>1231982.0093299996</v>
      </c>
      <c r="H45" s="19">
        <v>7.7878617870016154</v>
      </c>
    </row>
    <row r="46" spans="3:8">
      <c r="C46" s="221" t="str">
        <f>+IF(Índice!$D$2=1,"Saldo primário","Primary balance")</f>
        <v>Saldo primário</v>
      </c>
      <c r="D46" s="132">
        <v>291996.13241999992</v>
      </c>
      <c r="E46" s="132">
        <v>18624.013690000109</v>
      </c>
      <c r="F46" s="132">
        <v>19477.876109999896</v>
      </c>
      <c r="G46" s="132">
        <v>330095.86073999992</v>
      </c>
      <c r="H46" s="132">
        <v>69.850144979423192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H16" sqref="H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QUADRO II - Execução orçamental do Gov. Regional (janeiro-outubro)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1157358.56751</v>
      </c>
      <c r="E5" s="225">
        <v>1293691.1931499997</v>
      </c>
      <c r="F5" s="225">
        <v>11.779635928501619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931700.60994999995</v>
      </c>
      <c r="E6" s="231">
        <v>1044680.1808899998</v>
      </c>
      <c r="F6" s="231">
        <v>12.126166896688307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350360.93534999999</v>
      </c>
      <c r="E7" s="231">
        <v>401643.57637999998</v>
      </c>
      <c r="F7" s="231">
        <v>14.637088743575299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581339.67460000003</v>
      </c>
      <c r="E8" s="231">
        <v>643036.60450999986</v>
      </c>
      <c r="F8" s="231">
        <v>10.612888231385798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225657.95755999998</v>
      </c>
      <c r="E9" s="231">
        <v>249011.01225999999</v>
      </c>
      <c r="F9" s="231">
        <v>10.348872671060438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74861.215300000011</v>
      </c>
      <c r="E10" s="232">
        <v>127004.77844000001</v>
      </c>
      <c r="F10" s="232">
        <v>69.653642318040212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1232219.78281</v>
      </c>
      <c r="E12" s="232">
        <v>1420695.9715899997</v>
      </c>
      <c r="F12" s="232">
        <v>15.295663274468097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1030670.2033300003</v>
      </c>
      <c r="E14" s="232">
        <v>1107795.3891800002</v>
      </c>
      <c r="F14" s="232">
        <v>7.4830130531391648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350942.05326000013</v>
      </c>
      <c r="E15" s="231">
        <v>375486.00169999991</v>
      </c>
      <c r="F15" s="231">
        <v>6.9937325014212792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139541.68855000022</v>
      </c>
      <c r="E16" s="231">
        <v>141673.86539000011</v>
      </c>
      <c r="F16" s="231">
        <v>1.5279855519563235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86491.734600000054</v>
      </c>
      <c r="E17" s="231">
        <v>93837.665819999995</v>
      </c>
      <c r="F17" s="231">
        <v>8.4932175935340091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434538.13128999976</v>
      </c>
      <c r="E18" s="231">
        <v>471642.41463000001</v>
      </c>
      <c r="F18" s="231">
        <v>8.5387865110594383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366412.56956999976</v>
      </c>
      <c r="E19" s="231">
        <v>404989.47356999997</v>
      </c>
      <c r="F19" s="231">
        <v>10.528269825806413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68125.561719999998</v>
      </c>
      <c r="E20" s="231">
        <v>66652.941060000012</v>
      </c>
      <c r="F20" s="231">
        <v>-2.1616271819563715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18373.099440000002</v>
      </c>
      <c r="E21" s="231">
        <v>24324.893389999997</v>
      </c>
      <c r="F21" s="231">
        <v>32.39406595189034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783.49619000000018</v>
      </c>
      <c r="E22" s="231">
        <v>830.54825000000051</v>
      </c>
      <c r="F22" s="231">
        <v>6.0053974225452667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110624.88316999999</v>
      </c>
      <c r="E23" s="232">
        <v>114742.11581000003</v>
      </c>
      <c r="F23" s="232">
        <v>3.7217961475023653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72925.17174999998</v>
      </c>
      <c r="E24" s="231">
        <v>84169.088040000031</v>
      </c>
      <c r="F24" s="231">
        <v>15.418429631603935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37699.71142</v>
      </c>
      <c r="E25" s="231">
        <v>30573.027770000001</v>
      </c>
      <c r="F25" s="231">
        <v>-18.903814861084676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32481.925670000001</v>
      </c>
      <c r="E26" s="231">
        <v>23720.32202</v>
      </c>
      <c r="F26" s="231">
        <v>-26.973781477777759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5217.7857499999991</v>
      </c>
      <c r="E27" s="231">
        <v>6852.7057500000001</v>
      </c>
      <c r="F27" s="231">
        <v>31.333597781396083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1141295.0865000002</v>
      </c>
      <c r="E29" s="235">
        <v>1222537.5049900003</v>
      </c>
      <c r="F29" s="235">
        <v>7.1184410982741975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90924.696309999708</v>
      </c>
      <c r="E31" s="139">
        <v>198158.46659999952</v>
      </c>
      <c r="F31" s="139">
        <v>117.93690233992726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126688.36417999968</v>
      </c>
      <c r="E33" s="19">
        <v>185895.80396999954</v>
      </c>
      <c r="F33" s="19">
        <v>46.734710147395653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-35763.667869999976</v>
      </c>
      <c r="E34" s="19">
        <v>12262.662629999977</v>
      </c>
      <c r="F34" s="19">
        <v>134.28804527145942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177416.43090999976</v>
      </c>
      <c r="E35" s="19">
        <v>291996.13241999951</v>
      </c>
      <c r="F35" s="19">
        <v>64.582350643793546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18959.730829999997</v>
      </c>
      <c r="E36" s="106">
        <v>10634.221450000001</v>
      </c>
      <c r="F36" s="106">
        <v>-43.911537851721697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H16" sqref="H1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QUADRO III - Execução orçamental do Gov. Regional (outubro)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179555.8377399997</v>
      </c>
      <c r="E5" s="225">
        <v>167425.13002999983</v>
      </c>
      <c r="F5" s="225">
        <v>-6.7559528348865916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129891.55808999973</v>
      </c>
      <c r="E6" s="231">
        <v>112516.74143999988</v>
      </c>
      <c r="F6" s="231">
        <v>-13.376401750421007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61857.210829999982</v>
      </c>
      <c r="E7" s="231">
        <v>39393.908930000005</v>
      </c>
      <c r="F7" s="231">
        <v>-36.314766861595302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68034.347259999748</v>
      </c>
      <c r="E8" s="231">
        <v>73122.832509999876</v>
      </c>
      <c r="F8" s="231">
        <v>7.4792887047978818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49664.279649999975</v>
      </c>
      <c r="E9" s="231">
        <v>54908.388589999966</v>
      </c>
      <c r="F9" s="231">
        <v>10.559116082941088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16102.547809999991</v>
      </c>
      <c r="E10" s="232">
        <v>27571.922089999996</v>
      </c>
      <c r="F10" s="232">
        <v>71.227077946493054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195658.38554999969</v>
      </c>
      <c r="E12" s="232">
        <v>194997.05211999983</v>
      </c>
      <c r="F12" s="232">
        <v>-0.33800413314298838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106119.11059999953</v>
      </c>
      <c r="E14" s="232">
        <v>101492.65965999939</v>
      </c>
      <c r="F14" s="232">
        <v>-4.3596774547412736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32705.808349999963</v>
      </c>
      <c r="E15" s="231">
        <v>36229.046789999069</v>
      </c>
      <c r="F15" s="231">
        <v>10.772516007845766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18530.369890000089</v>
      </c>
      <c r="E16" s="231">
        <v>18768.745750000031</v>
      </c>
      <c r="F16" s="231">
        <v>1.2864063772876078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2241.2645900000034</v>
      </c>
      <c r="E17" s="231">
        <v>1644.6083799999803</v>
      </c>
      <c r="F17" s="231">
        <v>-26.621408853830243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50586.144679999474</v>
      </c>
      <c r="E18" s="231">
        <v>42890.313800000309</v>
      </c>
      <c r="F18" s="231">
        <v>-15.213317655816351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1895.6640500000026</v>
      </c>
      <c r="E19" s="231">
        <v>1787.5891100000031</v>
      </c>
      <c r="F19" s="231">
        <v>-5.7011652460254965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159.85904000000016</v>
      </c>
      <c r="E20" s="231">
        <v>172.35583000000008</v>
      </c>
      <c r="F20" s="231">
        <v>7.8173808625398467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8010.8764699999501</v>
      </c>
      <c r="E21" s="232">
        <v>24102.572750000098</v>
      </c>
      <c r="F21" s="232">
        <v>200.8731047128511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3672.439369999945</v>
      </c>
      <c r="E22" s="231">
        <v>17858.480280000091</v>
      </c>
      <c r="F22" s="231">
        <v>386.28386967761861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4338.4371000000056</v>
      </c>
      <c r="E23" s="231">
        <v>6244.092470000006</v>
      </c>
      <c r="F23" s="231">
        <v>43.924927942368882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114129.98706999948</v>
      </c>
      <c r="E25" s="300">
        <v>125595.23240999949</v>
      </c>
      <c r="F25" s="300">
        <v>10.045778181827014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81528.398480000207</v>
      </c>
      <c r="E27" s="287">
        <v>69401.819710000345</v>
      </c>
      <c r="F27" s="287">
        <v>-14.874054925750368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73436.727140000163</v>
      </c>
      <c r="E29" s="19">
        <v>65932.470370000432</v>
      </c>
      <c r="F29" s="19">
        <v>-10.218669952016757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8091.6713400000408</v>
      </c>
      <c r="E30" s="19">
        <v>3469.3493399998988</v>
      </c>
      <c r="F30" s="19">
        <v>-57.124440746256489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83769.663070000213</v>
      </c>
      <c r="E31" s="19">
        <v>71046.428090000321</v>
      </c>
      <c r="F31" s="19">
        <v>-15.188356397432335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H16" sqref="H1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QUADRO IV - Execução orçamental da receita fiscal do Gov. Reg. (janeiro-outubro)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931700.60994999995</v>
      </c>
      <c r="E5" s="33">
        <v>1044680.1808899998</v>
      </c>
      <c r="F5" s="270">
        <v>0.84028387514819047</v>
      </c>
      <c r="G5" s="270">
        <v>0.12126166896688306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350360.93534999999</v>
      </c>
      <c r="E7" s="70">
        <v>401643.57637999998</v>
      </c>
      <c r="F7" s="271">
        <v>0.87458561639523091</v>
      </c>
      <c r="G7" s="271">
        <v>0.14637088743575299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187150.89934</v>
      </c>
      <c r="E8" s="70">
        <v>204955.57340999998</v>
      </c>
      <c r="F8" s="271">
        <v>0.86093446259491657</v>
      </c>
      <c r="G8" s="271">
        <v>9.5135391455714702E-2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163210.03600999998</v>
      </c>
      <c r="E9" s="70">
        <v>196688.00297</v>
      </c>
      <c r="F9" s="271">
        <v>0.88927890878795302</v>
      </c>
      <c r="G9" s="271">
        <v>0.20512198746129062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581339.67460000003</v>
      </c>
      <c r="E11" s="70">
        <v>643036.60450999986</v>
      </c>
      <c r="F11" s="271">
        <v>0.82019136670457538</v>
      </c>
      <c r="G11" s="271">
        <v>0.10612888231385798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30815.743340000001</v>
      </c>
      <c r="E12" s="70">
        <v>30685.398379999999</v>
      </c>
      <c r="F12" s="271">
        <v>0.6392791329166666</v>
      </c>
      <c r="G12" s="271">
        <v>-4.2298171607241253E-3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455349.25161000004</v>
      </c>
      <c r="E13" s="70">
        <v>513506.15682999999</v>
      </c>
      <c r="F13" s="271">
        <v>0.8529604930030612</v>
      </c>
      <c r="G13" s="271">
        <v>0.12771933853931206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5763.95406</v>
      </c>
      <c r="E14" s="70">
        <v>5488.5368799999997</v>
      </c>
      <c r="F14" s="271">
        <v>0.72859908137528206</v>
      </c>
      <c r="G14" s="271">
        <v>-4.7782681321370646E-2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32639.991460000001</v>
      </c>
      <c r="E15" s="70">
        <v>32036.797859999999</v>
      </c>
      <c r="F15" s="271">
        <v>0.69064823492096183</v>
      </c>
      <c r="G15" s="271">
        <v>-1.8480200913631117E-2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7331.7963799999989</v>
      </c>
      <c r="E16" s="70">
        <v>9001.5928700000004</v>
      </c>
      <c r="F16" s="271">
        <v>0.71407912230772386</v>
      </c>
      <c r="G16" s="271">
        <v>0.2277472536682752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49438.937749999997</v>
      </c>
      <c r="E17" s="70">
        <v>52318.121689999985</v>
      </c>
      <c r="F17" s="271">
        <v>0.77560600827449511</v>
      </c>
      <c r="G17" s="271">
        <v>5.8237172379375979E-2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26459.42671</v>
      </c>
      <c r="E18" s="70">
        <v>28905.320239999997</v>
      </c>
      <c r="F18" s="271">
        <v>0.77145796333297312</v>
      </c>
      <c r="G18" s="271">
        <v>9.2439400022057194E-2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6007.6213799999996</v>
      </c>
      <c r="E19" s="70">
        <v>6700.5710100000006</v>
      </c>
      <c r="F19" s="271">
        <v>0.82507154238289915</v>
      </c>
      <c r="G19" s="271">
        <v>0.11534509020606776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300519.17285999999</v>
      </c>
      <c r="E21" s="33">
        <v>376015.79070000001</v>
      </c>
      <c r="F21" s="270">
        <v>0.59644242002129089</v>
      </c>
      <c r="G21" s="270">
        <v>0.25122063634579117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1232219.78281</v>
      </c>
      <c r="E23" s="139">
        <v>1420695.9715899997</v>
      </c>
      <c r="F23" s="274">
        <v>0.75823923657885384</v>
      </c>
      <c r="G23" s="274">
        <v>0.15295663274468096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H16" sqref="H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QUADRO V - Execução orçamental da receita não fiscal do Gov. Reg. (janeiro-outubro)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931700.60994999995</v>
      </c>
      <c r="E5" s="41">
        <v>1044680.1808899998</v>
      </c>
      <c r="F5" s="276">
        <v>0.84028387514819047</v>
      </c>
      <c r="G5" s="42">
        <v>0.12126166896688306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300519.17285999999</v>
      </c>
      <c r="E7" s="41">
        <v>376015.79070000001</v>
      </c>
      <c r="F7" s="276">
        <v>0.59644242002129089</v>
      </c>
      <c r="G7" s="42">
        <v>0.25122063634579117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225657.95755999998</v>
      </c>
      <c r="E8" s="41">
        <v>249011.01225999999</v>
      </c>
      <c r="F8" s="276">
        <v>0.68718810734979874</v>
      </c>
      <c r="G8" s="42">
        <v>0.10348872671060438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17604.133119999999</v>
      </c>
      <c r="E10" s="71">
        <v>25450.948130000004</v>
      </c>
      <c r="F10" s="278">
        <v>0.57399356470058016</v>
      </c>
      <c r="G10" s="43">
        <v>0.44573708665525058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9607.290579999999</v>
      </c>
      <c r="E11" s="71">
        <v>4847.2069199999996</v>
      </c>
      <c r="F11" s="278">
        <v>0.65338267395318328</v>
      </c>
      <c r="G11" s="43">
        <v>-0.49546577366040279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188531.98559999999</v>
      </c>
      <c r="E12" s="71">
        <v>207680.11513999998</v>
      </c>
      <c r="F12" s="278">
        <v>0.74502477548598645</v>
      </c>
      <c r="G12" s="43">
        <v>0.10156435513613982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8704.0652699999991</v>
      </c>
      <c r="E13" s="47">
        <v>9330.5001600000014</v>
      </c>
      <c r="F13" s="278">
        <v>0.66946306128831801</v>
      </c>
      <c r="G13" s="43">
        <v>7.1970380571376724E-2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1210.4829899999997</v>
      </c>
      <c r="E14" s="71">
        <v>1702.24191</v>
      </c>
      <c r="F14" s="278">
        <v>9.5043207805165661E-2</v>
      </c>
      <c r="G14" s="43">
        <v>0.40625016961204907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74861.215300000011</v>
      </c>
      <c r="E17" s="41">
        <v>127004.77844000001</v>
      </c>
      <c r="F17" s="276">
        <v>0.47377684845075191</v>
      </c>
      <c r="G17" s="42">
        <v>0.6965364231804021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7634.4390199999998</v>
      </c>
      <c r="E18" s="71">
        <v>1176.5745399999998</v>
      </c>
      <c r="F18" s="278">
        <v>0.10978697916540306</v>
      </c>
      <c r="G18" s="43">
        <v>-0.84588592077063973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63569.362570000005</v>
      </c>
      <c r="E19" s="44">
        <v>119056.25699000001</v>
      </c>
      <c r="F19" s="278">
        <v>0.48035119670457266</v>
      </c>
      <c r="G19" s="43">
        <v>0.87285591953041974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8.2813999999999997</v>
      </c>
      <c r="E20" s="71">
        <v>19.191290000000002</v>
      </c>
      <c r="F20" s="278">
        <v>1.2492702773076423</v>
      </c>
      <c r="G20" s="43">
        <v>1.3173968169633157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3649.13231</v>
      </c>
      <c r="E21" s="47">
        <v>6752.7556199999999</v>
      </c>
      <c r="F21" s="278">
        <v>0.71201556516237874</v>
      </c>
      <c r="G21" s="43">
        <v>0.85050994218403653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1232219.78281</v>
      </c>
      <c r="E23" s="287">
        <v>1420695.9715899997</v>
      </c>
      <c r="F23" s="288">
        <v>0.75823923657885384</v>
      </c>
      <c r="G23" s="288">
        <v>0.15295663274468096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H16" sqref="H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QUADRO VI - Execução orçamental das despesas do Governo Regional (janeiro-outubro)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2023</v>
      </c>
      <c r="E3" s="330">
        <v>2024</v>
      </c>
      <c r="F3" s="153">
        <v>2023</v>
      </c>
      <c r="G3" s="153">
        <v>2024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1030670.2033300003</v>
      </c>
      <c r="E5" s="253">
        <v>1107795.3891800002</v>
      </c>
      <c r="F5" s="253">
        <v>72.694938350840033</v>
      </c>
      <c r="G5" s="253">
        <v>69.207560363568945</v>
      </c>
      <c r="H5" s="253">
        <v>7.4830130531391648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350942.05326000013</v>
      </c>
      <c r="E6" s="74">
        <v>375486.00169999991</v>
      </c>
      <c r="F6" s="74">
        <v>78.676990775830348</v>
      </c>
      <c r="G6" s="74">
        <v>75.820061374781133</v>
      </c>
      <c r="H6" s="254">
        <v>6.9937325014212712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283831.42368000018</v>
      </c>
      <c r="E7" s="75">
        <v>297280.98038999987</v>
      </c>
      <c r="F7" s="75">
        <v>80.169907628307726</v>
      </c>
      <c r="G7" s="75">
        <v>76.884542371060064</v>
      </c>
      <c r="H7" s="254">
        <v>4.7385721198943447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5805.1490499999991</v>
      </c>
      <c r="E8" s="75">
        <v>12438.92884</v>
      </c>
      <c r="F8" s="75">
        <v>73.470102549226851</v>
      </c>
      <c r="G8" s="75">
        <v>63.046858037116415</v>
      </c>
      <c r="H8" s="254">
        <v>114.27406484937717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61305.480529999993</v>
      </c>
      <c r="E9" s="75">
        <v>65766.092470000047</v>
      </c>
      <c r="F9" s="75">
        <v>72.882497144848614</v>
      </c>
      <c r="G9" s="75">
        <v>74.023885495297506</v>
      </c>
      <c r="H9" s="254">
        <v>7.2760410675147407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139541.68855000022</v>
      </c>
      <c r="E10" s="75">
        <v>141673.86539000011</v>
      </c>
      <c r="F10" s="75">
        <v>69.751107850278345</v>
      </c>
      <c r="G10" s="75">
        <v>60.750074729515212</v>
      </c>
      <c r="H10" s="254">
        <v>1.5279855519563155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86491.734600000054</v>
      </c>
      <c r="E11" s="75">
        <v>93837.665819999995</v>
      </c>
      <c r="F11" s="75">
        <v>58.918796172737956</v>
      </c>
      <c r="G11" s="75">
        <v>66.413783493154071</v>
      </c>
      <c r="H11" s="254">
        <v>8.493217593534002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434538.13128999976</v>
      </c>
      <c r="E12" s="74">
        <v>471642.41463000001</v>
      </c>
      <c r="F12" s="74">
        <v>74.006855044290077</v>
      </c>
      <c r="G12" s="74">
        <v>69.791700472187628</v>
      </c>
      <c r="H12" s="254">
        <v>8.5387865110594383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366412.56956999976</v>
      </c>
      <c r="E13" s="74">
        <v>404989.47356999997</v>
      </c>
      <c r="F13" s="74">
        <v>77.249349102215277</v>
      </c>
      <c r="G13" s="74">
        <v>74.026608660443031</v>
      </c>
      <c r="H13" s="254">
        <v>10.528269825806412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230</v>
      </c>
      <c r="E14" s="75">
        <v>117.78400000000001</v>
      </c>
      <c r="F14" s="74">
        <v>63.48505341025146</v>
      </c>
      <c r="G14" s="74">
        <v>15.734113466650637</v>
      </c>
      <c r="H14" s="254">
        <v>-48.789565217391299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366182.56956999976</v>
      </c>
      <c r="E15" s="75">
        <v>404871.68956999999</v>
      </c>
      <c r="F15" s="75">
        <v>77.259870335436105</v>
      </c>
      <c r="G15" s="75">
        <v>74.106480823658529</v>
      </c>
      <c r="H15" s="254">
        <v>10.565527475934209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68125.561719999998</v>
      </c>
      <c r="E18" s="75">
        <v>66652.941060000012</v>
      </c>
      <c r="F18" s="72">
        <v>60.376361928831479</v>
      </c>
      <c r="G18" s="72">
        <v>51.789601877602209</v>
      </c>
      <c r="H18" s="77">
        <v>-2.1616271819563737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18373.099440000002</v>
      </c>
      <c r="E19" s="72">
        <v>24324.893389999997</v>
      </c>
      <c r="F19" s="72">
        <v>54.494355417244378</v>
      </c>
      <c r="G19" s="72">
        <v>50.103746394548466</v>
      </c>
      <c r="H19" s="77">
        <v>32.394065951890347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783.49619000000018</v>
      </c>
      <c r="E20" s="72">
        <v>830.54825000000051</v>
      </c>
      <c r="F20" s="72">
        <v>19.499918366249823</v>
      </c>
      <c r="G20" s="72">
        <v>12.55095459538482</v>
      </c>
      <c r="H20" s="77">
        <v>6.0053974225452595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944178.4687300002</v>
      </c>
      <c r="E22" s="78">
        <v>1013957.7233600002</v>
      </c>
      <c r="F22" s="78">
        <v>74.286053283384817</v>
      </c>
      <c r="G22" s="78">
        <v>69.478042393749888</v>
      </c>
      <c r="H22" s="76">
        <v>7.390472981644983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110624.88316999999</v>
      </c>
      <c r="E24" s="78">
        <v>114742.11581000003</v>
      </c>
      <c r="F24" s="78">
        <v>37.021253006003413</v>
      </c>
      <c r="G24" s="78">
        <v>36.234331268857702</v>
      </c>
      <c r="H24" s="76">
        <v>3.72179614750236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72925.17174999998</v>
      </c>
      <c r="E25" s="72">
        <v>84169.088040000031</v>
      </c>
      <c r="F25" s="72">
        <v>34.273310156248932</v>
      </c>
      <c r="G25" s="72">
        <v>43.598980099147255</v>
      </c>
      <c r="H25" s="77">
        <v>15.418429631603924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37699.71142</v>
      </c>
      <c r="E26" s="59">
        <v>30573.027770000001</v>
      </c>
      <c r="F26" s="59">
        <v>43.816935510031229</v>
      </c>
      <c r="G26" s="59">
        <v>25.139404850271806</v>
      </c>
      <c r="H26" s="77">
        <v>-18.903814861084683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32481.925670000001</v>
      </c>
      <c r="E27" s="59">
        <v>23720.32202</v>
      </c>
      <c r="F27" s="59">
        <v>44.73515352654487</v>
      </c>
      <c r="G27" s="59">
        <v>27.947110340421222</v>
      </c>
      <c r="H27" s="77">
        <v>-26.973781477777763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5865.9711399999997</v>
      </c>
      <c r="E28" s="72">
        <v>6719.7782500000003</v>
      </c>
      <c r="F28" s="72">
        <v>66.227770685046451</v>
      </c>
      <c r="G28" s="72">
        <v>68.094491622378456</v>
      </c>
      <c r="H28" s="77">
        <v>14.55525589237728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25793.007729999998</v>
      </c>
      <c r="E29" s="72">
        <v>15853.09542</v>
      </c>
      <c r="F29" s="72">
        <v>44.068550110110685</v>
      </c>
      <c r="G29" s="72">
        <v>23.156844881420081</v>
      </c>
      <c r="H29" s="77">
        <v>-38.537236192267834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822.94680000000005</v>
      </c>
      <c r="E30" s="72">
        <v>1147.4483499999999</v>
      </c>
      <c r="F30" s="72">
        <v>15.756679694051748</v>
      </c>
      <c r="G30" s="72">
        <v>17.524200138886492</v>
      </c>
      <c r="H30" s="77">
        <v>39.431655849442492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1141295.0865000002</v>
      </c>
      <c r="E33" s="142">
        <v>1222537.5049900003</v>
      </c>
      <c r="F33" s="143">
        <v>66.485155284933384</v>
      </c>
      <c r="G33" s="143">
        <v>63.76175454925864</v>
      </c>
      <c r="H33" s="141">
        <v>7.1184410982741975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18959.730829999997</v>
      </c>
      <c r="E36" s="150">
        <v>10634.221450000001</v>
      </c>
      <c r="F36" s="150">
        <v>17.51680600639849</v>
      </c>
      <c r="G36" s="150">
        <v>53.917413212594099</v>
      </c>
      <c r="H36" s="128">
        <v>-43.911537851721697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184344.52340000001</v>
      </c>
      <c r="E37" s="150">
        <v>196123.99557</v>
      </c>
      <c r="F37" s="150">
        <v>71.885001061480736</v>
      </c>
      <c r="G37" s="150">
        <v>74.480430333325984</v>
      </c>
      <c r="H37" s="128">
        <v>6.3899224955223124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H16" sqref="H1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QUADRO VII - Despesa do Governo Regional, por classificação funcional (janeiro-outubro)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2023</v>
      </c>
      <c r="E3" s="333">
        <v>2024</v>
      </c>
      <c r="F3" s="334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161259.84355000025</v>
      </c>
      <c r="E5" s="34">
        <v>175399.10636999996</v>
      </c>
      <c r="F5" s="34">
        <v>14.34713500846215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9073.9179100000001</v>
      </c>
      <c r="E7" s="34">
        <v>10404.357649999996</v>
      </c>
      <c r="F7" s="34">
        <v>0.85104609122687835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214204.1766699999</v>
      </c>
      <c r="E8" s="34">
        <v>209924.23579000006</v>
      </c>
      <c r="F8" s="34">
        <v>17.171189835334928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13775.866449999998</v>
      </c>
      <c r="E9" s="34">
        <v>19977.757540000002</v>
      </c>
      <c r="F9" s="34">
        <v>1.6341222627900824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69486.694620000024</v>
      </c>
      <c r="E10" s="34">
        <v>64352.391559999989</v>
      </c>
      <c r="F10" s="34">
        <v>5.2638378207077077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308538.12011999986</v>
      </c>
      <c r="E11" s="34">
        <v>347419.84309999988</v>
      </c>
      <c r="F11" s="34">
        <v>28.417929239957484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27334.477239999971</v>
      </c>
      <c r="E12" s="34">
        <v>25707.775400000002</v>
      </c>
      <c r="F12" s="34">
        <v>2.1028210009974528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321274.22836999962</v>
      </c>
      <c r="E13" s="34">
        <v>345980.90440999978</v>
      </c>
      <c r="F13" s="34">
        <v>28.30022825457857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16347.761570000002</v>
      </c>
      <c r="E14" s="34">
        <v>23371.133169999997</v>
      </c>
      <c r="F14" s="34">
        <v>1.9116904859447374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1141295.0864999997</v>
      </c>
      <c r="E17" s="145">
        <v>1222537.5049899998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18959.730829999997</v>
      </c>
      <c r="E20" s="152">
        <v>10634.221450000001</v>
      </c>
      <c r="F20" s="152">
        <v>0.86984827922207475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184344.52340000001</v>
      </c>
      <c r="E21" s="283">
        <v>196123.99557</v>
      </c>
      <c r="F21" s="283">
        <v>16.042370460577754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2024-11-28T15:13:27Z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