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ocuments\Boletim mensal\2023\Dezembro\"/>
    </mc:Choice>
  </mc:AlternateContent>
  <xr:revisionPtr revIDLastSave="0" documentId="13_ncr:1_{DADFA6D7-1064-4F59-AA01-42ABB41A58B7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1_12_13_14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Q_11_12_13_14_Compromissos!$C$1:$I$48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Q8_D_Est_Org!$C$1:$P$46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Q8_D_Est_Org!$B$1:$AG$47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Q8_D_Est_Org!$B$1:$AG$47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Q8_D_Est_Org!$Q:$AE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Q8_D_Est_Org!$B$1:$AG$47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Q8_D_Est_Org!$B$1:$AG$47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Q8_D_Est_Org!$Q:$AE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Q8_D_Est_Org!$B$1:$AG$47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Q8_D_Est_Org!$Q:$AE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Q8_D_Est_Org!$B$1:$AG$47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Q8_D_Est_Org!$Q:$AE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Q8_D_Est_Org!$B$1:$AG$47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Q8_D_Est_Org!$Q:$AE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Q8_D_Est_Org!$B$1:$AG$47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Q8_D_Est_Org!$Q:$AE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Q8_D_Est_Org!$B$1:$AG$47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Q8_D_Est_Org!$D$1:$P$47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Q8_D_Est_Org!$Q:$AE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Q8_D_Est_Org!$B$1:$AG$47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Q8_D_Est_Org!$Q:$AE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Q8_D_Est_Org!$B$1:$AG$47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61" l="1"/>
  <c r="C2" i="39"/>
  <c r="C2" i="13"/>
  <c r="C2" i="51"/>
  <c r="C2" i="61"/>
  <c r="C2" i="32"/>
  <c r="C2" i="8"/>
  <c r="C2" i="60"/>
  <c r="C2" i="9"/>
  <c r="C2" i="50"/>
  <c r="C2" i="10"/>
  <c r="C2" i="11"/>
  <c r="C2" i="12"/>
  <c r="D42" i="38"/>
  <c r="C41" i="38"/>
  <c r="D33" i="38"/>
  <c r="C32" i="38"/>
  <c r="D24" i="38"/>
  <c r="C23" i="38"/>
  <c r="D3" i="38"/>
  <c r="C2" i="38"/>
  <c r="C46" i="12"/>
  <c r="F33" i="38" l="1"/>
  <c r="E33" i="38"/>
  <c r="F42" i="38"/>
  <c r="E42" i="38"/>
  <c r="F24" i="38"/>
  <c r="E24" i="38"/>
  <c r="G24" i="38"/>
  <c r="G33" i="38"/>
  <c r="G42" i="38"/>
  <c r="G3" i="38"/>
  <c r="A16" i="54" l="1"/>
  <c r="A8" i="54"/>
  <c r="A14" i="54"/>
  <c r="F3" i="11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G3" i="32"/>
  <c r="A20" i="54"/>
  <c r="E2" i="53" l="1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F3" i="50"/>
  <c r="G3" i="9"/>
  <c r="G3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5" i="54"/>
  <c r="A13" i="54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<sst xmlns="http://schemas.openxmlformats.org/spreadsheetml/2006/main" count="126" uniqueCount="107">
  <si>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</si>
  <si>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</si>
  <si>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</si>
  <si>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</si>
  <si>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</si>
  <si>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</si>
  <si>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</si>
  <si>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</si>
  <si>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</si>
  <si>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</si>
  <si>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</si>
  <si>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</si>
  <si>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</si>
  <si>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</si>
  <si>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</si>
  <si>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</si>
  <si>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</si>
  <si>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</si>
  <si>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</si>
  <si>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Inspeção Regional de Educação</t>
  </si>
  <si>
    <t>Escola Básica dos 1º, 2º e 3º Ciclos Com Pré-Escolar de Bartolomeu Perestrelo</t>
  </si>
  <si>
    <t>Escola Básica e Secundária de Machico</t>
  </si>
  <si>
    <t>Escola Básica e Secundaria Com Pré-Escolar da Calheta</t>
  </si>
  <si>
    <t>Escola Básica e Secundária Padre Manuel Álvares, Ribeira Brava</t>
  </si>
  <si>
    <t>Escola Básica dos 2º e 3º Ciclos do Estreito de Câmara de Lobos</t>
  </si>
  <si>
    <t>Escola Básica e Secundária de Santa Cruz</t>
  </si>
  <si>
    <t>Escola Básica e Secundária Prof.Doutor Freitas Branco-Porto Santo</t>
  </si>
  <si>
    <t>Escola Básica e Secundária da Ponta do Sol</t>
  </si>
  <si>
    <t>Escola Básica dos 2º e 3º Ciclos Dr. Horácio Bento de Gouveia-Funchal</t>
  </si>
  <si>
    <t>Escola Básica Com Pré-Escolar de Santo António e Curral das Freiras</t>
  </si>
  <si>
    <t>Escola Básica e Secundária D. Lucinda Andrade, São Vicente</t>
  </si>
  <si>
    <t>Escola Secundária Jaime Moniz, Funchal</t>
  </si>
  <si>
    <t>Escola Secundária Francisco Franco, Funchal</t>
  </si>
  <si>
    <t>Escola Básica e Secundária Dr. Luís Maurílio da Silva Dantas, Carmo</t>
  </si>
  <si>
    <t>Escola Básica dos 2º e 3º Ciclos do Caniço</t>
  </si>
  <si>
    <t>Escola Básica dos 2º e 3º Ciclos dos Louros, Funchal</t>
  </si>
  <si>
    <t>Escola Básica dos 2º e 3º Ciclos Dr. Eduardo Brazão de Castro, São Roque</t>
  </si>
  <si>
    <t>Escola Básica e Secundária Com Pré-Escolar e Creche do Porto Moniz</t>
  </si>
  <si>
    <t>Escola Básica dos 2º e 3º Ciclos da Torre</t>
  </si>
  <si>
    <t>Escola Básica dos 1º, 2º e 3º Ciclo e Pre-Escolar Porto da Cruz</t>
  </si>
  <si>
    <t>Escola Básica 2 3 Ciclos Cónego João Jacinto Gonçalves de Andrade-Campanário</t>
  </si>
  <si>
    <t>Direção Regional de Juventude</t>
  </si>
  <si>
    <t>Secretaria Regional de Economia</t>
  </si>
  <si>
    <t>Direção Regional da Economia e Transportes</t>
  </si>
  <si>
    <t>Autoridade Regional das Atividades Económicas</t>
  </si>
  <si>
    <t>Gabinete do Secretário Regional</t>
  </si>
  <si>
    <t>Secretaria Regional das Finanças</t>
  </si>
  <si>
    <t>Direção Regional da Administração Pública e Modernização Administrativa</t>
  </si>
  <si>
    <t>Direção Regional dos Assuntos Europeus e Cooperação Externa</t>
  </si>
  <si>
    <t>Inspeção Regional de Finanças</t>
  </si>
  <si>
    <t>Autoridade Tributária e Assuntos Fiscais da RAM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</si>
  <si>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</si>
  <si>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</si>
  <si>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</si>
  <si>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</si>
  <si>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Secretaria Regional de Turismo e Cultura</t>
  </si>
  <si>
    <t>Gabinete do Secretário Regional do Turismo e Cultura</t>
  </si>
  <si>
    <t>Direção Regional de Turismo</t>
  </si>
  <si>
    <t>Direção Regional da Cultura</t>
  </si>
  <si>
    <t>Direção Regional do Arquivo e Biblioteca da Madeira</t>
  </si>
  <si>
    <t>Secretaria Regional de Inclusão Social e Cidadania</t>
  </si>
  <si>
    <t>Gabinete da Secretária Regional</t>
  </si>
  <si>
    <t>Direção Regional do Trabalho e Ação Inspetiva</t>
  </si>
  <si>
    <t>Secretaria Regional de Mar e Pescas</t>
  </si>
  <si>
    <t>Gabinete do Secretário Regional de Mar e Pescas</t>
  </si>
  <si>
    <t>Direção Regional de Pescas</t>
  </si>
  <si>
    <t>Direção Regional do Mar</t>
  </si>
  <si>
    <t>Secretaria Regional de Agricultura e Desenvolvimento Rural</t>
  </si>
  <si>
    <t>Gabinete do Secretario Regional de Agricultura e Desenvolvimento Rural</t>
  </si>
  <si>
    <t>Secretaria Regional de Equipamentos e Infraestruturas</t>
  </si>
  <si>
    <t>Gabinete do Secretário Regional dos Equipamentos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</si>
  <si>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</si>
  <si>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</si>
  <si>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</si>
  <si>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Unidade de Acompanhamento da Construção do Hospital Central da Madeira</t>
  </si>
  <si>
    <t>Conservatório -Escola Profissional das Artes da Madeira</t>
  </si>
  <si>
    <t>Instituto das Artes da Madeira</t>
  </si>
  <si>
    <t>Instituto para a Qualificação</t>
  </si>
  <si>
    <t>ARDITI-Agencia Regional Para Desenvolvimento da Inv. Tecnologica e Inovaçao</t>
  </si>
  <si>
    <t>EPHTM-Escola Profissional de Hotelaria e Turismo da Madeira</t>
  </si>
  <si>
    <t>Instituto de Desenvolvimento Empresarial</t>
  </si>
  <si>
    <t>APRAM -Administração dos Portos da Região Autónoma da Madeira, S.A.</t>
  </si>
  <si>
    <t>Fundo de Estabilização Tributária da Região Autónoma da Madeira</t>
  </si>
  <si>
    <t>Gabinete de Gestão da Loja do Cidadão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</si>
  <si>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</si>
  <si>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</si>
  <si>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</si>
  <si>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</si>
  <si>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Secretaria Regional de Ambiente, Recursos Naturais e Alterações Climáticas</t>
  </si>
  <si>
    <t>Instituto das Florestas e Conservação da Natureza, IP-RAM</t>
  </si>
  <si>
    <t>Instituto do Vinho, do Bordado e do Artesanato da Madeira</t>
  </si>
  <si>
    <t>CARAM -Centro de Abate da Região Autónoma da Madeira, EPERAM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</si>
  <si>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</si>
  <si>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</si>
  <si>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</si>
  <si>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</si>
  <si>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</si>
  <si>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Escola Básica e Secundária de Gonçalves Zarco, Funchal</t>
  </si>
  <si>
    <t>Direção Regional do Orçamento e Tesouro</t>
  </si>
  <si>
    <t>Direção Regional do Património</t>
  </si>
  <si>
    <t>Direção Regional do Ordenamento do Território</t>
  </si>
  <si>
    <t>Escola Básica e Secundária Dr. Ângelo Augusto da Silva, Funchal</t>
  </si>
  <si>
    <t>Gabinete do Secretario e Serviços Dependentes-SRS</t>
  </si>
  <si>
    <t>Direção Regional da Saúde</t>
  </si>
  <si>
    <t>Direção Regional do Ambiente e Alterações Climáticas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</si>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</sst>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5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0" fontId="69" fillId="0" borderId="0" xfId="0" applyFont="1" applyBorder="1" applyAlignment="1">
      <alignment vertical="center"/>
    </xf>
    <xf numFmtId="0" fontId="0" fillId="0" borderId="0" xfId="0" applyBorder="1"/>
    <xf numFmtId="0" fontId="69" fillId="0" borderId="0" xfId="0" applyFont="1" applyBorder="1"/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7" fillId="0" borderId="21" xfId="62" applyFont="1" applyBorder="1" applyAlignment="1">
      <alignment horizontal="center" vertical="center"/>
    </xf>
    <xf numFmtId="0" fontId="64" fillId="0" borderId="25" xfId="62" applyFont="1" applyBorder="1" applyAlignment="1">
      <alignment horizont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25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01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2024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C1" sqref="C1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N30" sqref="N30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(janeiro-dezembro)","TABLE VIII - Budget execution by organic and economic cross-classification (january-december)")</f>
        <v>QUADRO VIII - Execução orçamental por classificação cruzada orgânica e económica (janeiro-dezembro)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Milhares</v>
      </c>
      <c r="R2" s="190" t="str">
        <f>+IF(Índice!$D$2=1,"índice","Index")</f>
        <v>índice</v>
      </c>
    </row>
    <row r="3" spans="2:18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+IF(Índice!$D$2=1,"Economia","Economy")</f>
        <v>Economia</v>
      </c>
      <c r="H3" s="192" t="str">
        <f>+IF(Índice!$D$2=1,"Finanças","Finances")</f>
        <v>Finanças</v>
      </c>
      <c r="I3" s="192" t="str">
        <f>+IF(Índice!$D$2=1,"Saúde e Proteção Civil","Health and Civil Protection")</f>
        <v>Saúde e Proteção Civil</v>
      </c>
      <c r="J3" s="192" t="str">
        <f>+IF(Índice!$D$2=1,"Turismo e Cultura","Tourism and Culture")</f>
        <v>Turismo e Cultura</v>
      </c>
      <c r="K3" s="192" t="str">
        <f>+IF(Índice!$D$2=1,"Inclusão Social e Cidadania","Social Inclusion and Citizenship")</f>
        <v>Inclusão Social e Cidadania</v>
      </c>
      <c r="L3" s="192" t="str">
        <f>+IF(Índice!$D$2=1,"Ambiente, Recursos Naturais e Alterações Climáticas","Environment, Natural Resources and Climate Changes")</f>
        <v>Ambiente, Recursos Naturais e Alterações Climáticas</v>
      </c>
      <c r="M3" s="192" t="str">
        <f>+IF(Índice!$D$2=1,"Mar e Pescas","Sea and fisheries")</f>
        <v>Mar e Pescas</v>
      </c>
      <c r="N3" s="192" t="str">
        <f>+IF(Índice!$D$2=1,"Agricultura e Desenvolvimento Rural","Agriculture and Rural Development")</f>
        <v>Agricultura e Desenvolvimento Rural</v>
      </c>
      <c r="O3" s="192" t="str">
        <f>+IF(Índice!$D$2=1,"Equipamentos e Infraestruturas","Equipment and infrastructures")</f>
        <v>Equipamentos e Infraestruturas</v>
      </c>
      <c r="P3" s="193" t="s">
        <v>5</v>
      </c>
    </row>
    <row r="4" spans="2:18" ht="27" customHeight="1">
      <c r="C4" s="253" t="str">
        <f>+IF(Índice!$D$2=1,"Despesa corrente","Current expenditure")</f>
        <v>Despesa corrente</v>
      </c>
      <c r="D4" s="194">
        <v>14497</v>
      </c>
      <c r="E4" s="194">
        <v>2742.4028700000003</v>
      </c>
      <c r="F4" s="194">
        <v>444375.37975999975</v>
      </c>
      <c r="G4" s="194">
        <v>42646.620599999987</v>
      </c>
      <c r="H4" s="194">
        <v>199623.03532999998</v>
      </c>
      <c r="I4" s="194">
        <v>414676.61976000003</v>
      </c>
      <c r="J4" s="194">
        <v>37350.935919999989</v>
      </c>
      <c r="K4" s="194">
        <v>23462.835729999999</v>
      </c>
      <c r="L4" s="194">
        <v>20251.211479999998</v>
      </c>
      <c r="M4" s="194">
        <v>7461.9086200000002</v>
      </c>
      <c r="N4" s="194">
        <v>29415.996910000002</v>
      </c>
      <c r="O4" s="194">
        <v>109459.28813000002</v>
      </c>
      <c r="P4" s="194">
        <v>1345963.2351099998</v>
      </c>
    </row>
    <row r="5" spans="2:18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1780.4972700000001</v>
      </c>
      <c r="F5" s="196">
        <v>340984.80367999978</v>
      </c>
      <c r="G5" s="196">
        <v>7021.3941799999984</v>
      </c>
      <c r="H5" s="196">
        <v>31741.547270000006</v>
      </c>
      <c r="I5" s="196">
        <v>5446.8845799999999</v>
      </c>
      <c r="J5" s="196">
        <v>12745.159089999996</v>
      </c>
      <c r="K5" s="196">
        <v>5719.5779399999974</v>
      </c>
      <c r="L5" s="196">
        <v>5926.5378499999988</v>
      </c>
      <c r="M5" s="196">
        <v>5811.7044999999989</v>
      </c>
      <c r="N5" s="196">
        <v>18201.973720000005</v>
      </c>
      <c r="O5" s="196">
        <v>16295.721680000002</v>
      </c>
      <c r="P5" s="196">
        <v>451675.80175999977</v>
      </c>
      <c r="Q5" s="21"/>
    </row>
    <row r="6" spans="2:18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1371.8447200000001</v>
      </c>
      <c r="F6" s="198">
        <v>273462.18881999981</v>
      </c>
      <c r="G6" s="198">
        <v>5648.5293699999993</v>
      </c>
      <c r="H6" s="198">
        <v>23444.852250000004</v>
      </c>
      <c r="I6" s="198">
        <v>4319.8966699999992</v>
      </c>
      <c r="J6" s="198">
        <v>10252.555549999995</v>
      </c>
      <c r="K6" s="198">
        <v>4484.4739399999971</v>
      </c>
      <c r="L6" s="198">
        <v>4800.1727899999987</v>
      </c>
      <c r="M6" s="198">
        <v>4573.119709999999</v>
      </c>
      <c r="N6" s="198">
        <v>14376.384030000005</v>
      </c>
      <c r="O6" s="198">
        <v>13002.104210000001</v>
      </c>
      <c r="P6" s="198">
        <v>359736.12205999979</v>
      </c>
    </row>
    <row r="7" spans="2:18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24.255679999999998</v>
      </c>
      <c r="F7" s="198">
        <v>3286.4067000000009</v>
      </c>
      <c r="G7" s="198">
        <v>56.649100000000004</v>
      </c>
      <c r="H7" s="198">
        <v>2393.9545500000004</v>
      </c>
      <c r="I7" s="198">
        <v>72.31738</v>
      </c>
      <c r="J7" s="198">
        <v>104.91301</v>
      </c>
      <c r="K7" s="198">
        <v>187.58771000000002</v>
      </c>
      <c r="L7" s="198">
        <v>36.904830000000004</v>
      </c>
      <c r="M7" s="198">
        <v>169.38017000000002</v>
      </c>
      <c r="N7" s="198">
        <v>370.43573999999995</v>
      </c>
      <c r="O7" s="198">
        <v>237.40470999999999</v>
      </c>
      <c r="P7" s="198">
        <v>6940.2095800000025</v>
      </c>
    </row>
    <row r="8" spans="2:18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384.39686999999998</v>
      </c>
      <c r="F8" s="198">
        <v>64236.208159999958</v>
      </c>
      <c r="G8" s="198">
        <v>1316.2157099999997</v>
      </c>
      <c r="H8" s="198">
        <v>5902.7404699999997</v>
      </c>
      <c r="I8" s="198">
        <v>1054.6705299999999</v>
      </c>
      <c r="J8" s="198">
        <v>2387.6905299999994</v>
      </c>
      <c r="K8" s="198">
        <v>1047.51629</v>
      </c>
      <c r="L8" s="198">
        <v>1089.4602300000001</v>
      </c>
      <c r="M8" s="198">
        <v>1069.2046199999997</v>
      </c>
      <c r="N8" s="198">
        <v>3455.1539500000003</v>
      </c>
      <c r="O8" s="198">
        <v>3056.2127600000008</v>
      </c>
      <c r="P8" s="198">
        <v>84999.470119999954</v>
      </c>
    </row>
    <row r="9" spans="2:18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892.38909999999987</v>
      </c>
      <c r="F9" s="196">
        <v>25940.567999999977</v>
      </c>
      <c r="G9" s="196">
        <v>1830.2140400000001</v>
      </c>
      <c r="H9" s="196">
        <v>35295.456509999996</v>
      </c>
      <c r="I9" s="196">
        <v>1001.94957</v>
      </c>
      <c r="J9" s="196">
        <v>8030.0353800000012</v>
      </c>
      <c r="K9" s="196">
        <v>594.76656999999989</v>
      </c>
      <c r="L9" s="196">
        <v>1255.3516500000001</v>
      </c>
      <c r="M9" s="196">
        <v>1383.8035000000007</v>
      </c>
      <c r="N9" s="196">
        <v>3954.2143199999982</v>
      </c>
      <c r="O9" s="196">
        <v>86330.149860000005</v>
      </c>
      <c r="P9" s="196">
        <v>166508.89849999995</v>
      </c>
    </row>
    <row r="10" spans="2:18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146.79796999999999</v>
      </c>
      <c r="F10" s="198">
        <v>17160.306369999984</v>
      </c>
      <c r="G10" s="198">
        <v>174.02599000000004</v>
      </c>
      <c r="H10" s="198">
        <v>687.38368000000037</v>
      </c>
      <c r="I10" s="198">
        <v>156.04089000000005</v>
      </c>
      <c r="J10" s="198">
        <v>1684.8403500000002</v>
      </c>
      <c r="K10" s="198">
        <v>9.5684699999999996</v>
      </c>
      <c r="L10" s="198">
        <v>46.814060000000005</v>
      </c>
      <c r="M10" s="198">
        <v>125.41302000000003</v>
      </c>
      <c r="N10" s="198">
        <v>858.23837000000026</v>
      </c>
      <c r="O10" s="198">
        <v>2047.6842699999997</v>
      </c>
      <c r="P10" s="198">
        <v>23097.113439999979</v>
      </c>
    </row>
    <row r="11" spans="2:18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745.59112999999991</v>
      </c>
      <c r="F11" s="198">
        <v>8780.2616299999918</v>
      </c>
      <c r="G11" s="198">
        <v>1656.18805</v>
      </c>
      <c r="H11" s="198">
        <v>34608.072829999997</v>
      </c>
      <c r="I11" s="198">
        <v>845.90867999999989</v>
      </c>
      <c r="J11" s="198">
        <v>6345.1950300000008</v>
      </c>
      <c r="K11" s="198">
        <v>585.19809999999984</v>
      </c>
      <c r="L11" s="198">
        <v>1208.5375900000001</v>
      </c>
      <c r="M11" s="198">
        <v>1258.3904800000007</v>
      </c>
      <c r="N11" s="198">
        <v>3095.9759499999982</v>
      </c>
      <c r="O11" s="198">
        <v>84282.465590000007</v>
      </c>
      <c r="P11" s="198">
        <v>143411.78505999999</v>
      </c>
    </row>
    <row r="12" spans="2:18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13.0504</v>
      </c>
      <c r="G12" s="198">
        <v>1.5E-3</v>
      </c>
      <c r="H12" s="198">
        <v>125636.37447</v>
      </c>
      <c r="I12" s="198">
        <v>2.1399999999999999E-2</v>
      </c>
      <c r="J12" s="198">
        <v>5.5229999999999994E-2</v>
      </c>
      <c r="K12" s="198">
        <v>0</v>
      </c>
      <c r="L12" s="198">
        <v>0</v>
      </c>
      <c r="M12" s="198">
        <v>0</v>
      </c>
      <c r="N12" s="198">
        <v>0</v>
      </c>
      <c r="O12" s="198">
        <v>39.406429999999993</v>
      </c>
      <c r="P12" s="198">
        <v>125688.90943</v>
      </c>
    </row>
    <row r="13" spans="2:18" ht="15" customHeight="1">
      <c r="B13" s="195"/>
      <c r="C13" s="104" t="str">
        <f>+IF(Índice!$D$2=1,"Transferências correntes","Current transfers")</f>
        <v>Transferências correntes</v>
      </c>
      <c r="D13" s="196">
        <v>14497</v>
      </c>
      <c r="E13" s="196">
        <v>69.516500000000008</v>
      </c>
      <c r="F13" s="196">
        <v>77393.600860000006</v>
      </c>
      <c r="G13" s="196">
        <v>15129.700569999999</v>
      </c>
      <c r="H13" s="196">
        <v>6177.8444900000013</v>
      </c>
      <c r="I13" s="196">
        <v>408224.28753000003</v>
      </c>
      <c r="J13" s="196">
        <v>16564.947869999996</v>
      </c>
      <c r="K13" s="196">
        <v>17148.49122</v>
      </c>
      <c r="L13" s="196">
        <v>8557.2678400000004</v>
      </c>
      <c r="M13" s="196">
        <v>84.276880000000006</v>
      </c>
      <c r="N13" s="196">
        <v>7234.9089000000004</v>
      </c>
      <c r="O13" s="196">
        <v>6712.9765299999999</v>
      </c>
      <c r="P13" s="196">
        <v>577794.81919000007</v>
      </c>
    </row>
    <row r="14" spans="2:18" ht="15" customHeight="1">
      <c r="B14" s="195"/>
      <c r="C14" s="109" t="str">
        <f>IF(Índice!$D$2=1,"Administração Pública","Public Administration")</f>
        <v>Administração Pública</v>
      </c>
      <c r="D14" s="200">
        <v>14497</v>
      </c>
      <c r="E14" s="200">
        <v>0</v>
      </c>
      <c r="F14" s="200">
        <v>19226.25405</v>
      </c>
      <c r="G14" s="200">
        <v>13869.73057</v>
      </c>
      <c r="H14" s="200">
        <v>5988.585860000001</v>
      </c>
      <c r="I14" s="200">
        <v>405008.72606000002</v>
      </c>
      <c r="J14" s="200">
        <v>0</v>
      </c>
      <c r="K14" s="200">
        <v>5318.19769</v>
      </c>
      <c r="L14" s="200">
        <v>8553.5030900000002</v>
      </c>
      <c r="M14" s="200">
        <v>0</v>
      </c>
      <c r="N14" s="200">
        <v>5152.7910700000002</v>
      </c>
      <c r="O14" s="200">
        <v>6636.1299799999997</v>
      </c>
      <c r="P14" s="200">
        <v>484250.91837000003</v>
      </c>
    </row>
    <row r="15" spans="2:18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230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230</v>
      </c>
    </row>
    <row r="16" spans="2:18" ht="15" customHeight="1">
      <c r="B16" s="195"/>
      <c r="C16" s="201" t="str">
        <f>IF(Índice!$D$2=1,"Administração Regional","Regional Administration")</f>
        <v>Administração Regional</v>
      </c>
      <c r="D16" s="198">
        <v>14497</v>
      </c>
      <c r="E16" s="198">
        <v>0</v>
      </c>
      <c r="F16" s="198">
        <v>19226.25405</v>
      </c>
      <c r="G16" s="198">
        <v>13869.73057</v>
      </c>
      <c r="H16" s="198">
        <v>5988.585860000001</v>
      </c>
      <c r="I16" s="198">
        <v>404778.72606000002</v>
      </c>
      <c r="J16" s="198">
        <v>0</v>
      </c>
      <c r="K16" s="198">
        <v>5318.19769</v>
      </c>
      <c r="L16" s="198">
        <v>8553.5030900000002</v>
      </c>
      <c r="M16" s="198">
        <v>0</v>
      </c>
      <c r="N16" s="198">
        <v>5152.7910700000002</v>
      </c>
      <c r="O16" s="198">
        <v>6636.1299799999997</v>
      </c>
      <c r="P16" s="198">
        <v>484020.91837000003</v>
      </c>
    </row>
    <row r="17" spans="2:16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69.516500000000008</v>
      </c>
      <c r="F19" s="200">
        <v>58167.34681000001</v>
      </c>
      <c r="G19" s="200">
        <v>1259.97</v>
      </c>
      <c r="H19" s="200">
        <v>189.25862999999998</v>
      </c>
      <c r="I19" s="200">
        <v>3215.5614700000001</v>
      </c>
      <c r="J19" s="200">
        <v>16564.947869999996</v>
      </c>
      <c r="K19" s="200">
        <v>11830.293529999999</v>
      </c>
      <c r="L19" s="200">
        <v>3.7647500000000003</v>
      </c>
      <c r="M19" s="200">
        <v>84.276880000000006</v>
      </c>
      <c r="N19" s="200">
        <v>2082.1178300000001</v>
      </c>
      <c r="O19" s="200">
        <v>76.846549999999993</v>
      </c>
      <c r="P19" s="200">
        <v>93543.90082000001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18116.695220000001</v>
      </c>
      <c r="G20" s="198">
        <v>489.5</v>
      </c>
      <c r="H20" s="198">
        <v>0</v>
      </c>
      <c r="I20" s="198">
        <v>0</v>
      </c>
      <c r="J20" s="198">
        <v>17.75</v>
      </c>
      <c r="K20" s="198">
        <v>0</v>
      </c>
      <c r="L20" s="198">
        <v>0</v>
      </c>
      <c r="M20" s="198">
        <v>0</v>
      </c>
      <c r="N20" s="198">
        <v>664.6816</v>
      </c>
      <c r="O20" s="198">
        <v>50.633449999999996</v>
      </c>
      <c r="P20" s="198">
        <v>19339.260270000002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24.5</v>
      </c>
      <c r="F22" s="198">
        <v>32686.348360000015</v>
      </c>
      <c r="G22" s="198">
        <v>749.10609999999997</v>
      </c>
      <c r="H22" s="198">
        <v>50.619959999999999</v>
      </c>
      <c r="I22" s="198">
        <v>3180.75</v>
      </c>
      <c r="J22" s="198">
        <v>16270.858149999996</v>
      </c>
      <c r="K22" s="198">
        <v>9433.6454499999982</v>
      </c>
      <c r="L22" s="198">
        <v>0</v>
      </c>
      <c r="M22" s="198">
        <v>60</v>
      </c>
      <c r="N22" s="198">
        <v>1277.75639</v>
      </c>
      <c r="O22" s="198">
        <v>0</v>
      </c>
      <c r="P22" s="198">
        <v>63733.584410000018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7364.3032300000004</v>
      </c>
      <c r="G23" s="198">
        <v>21.363899999999997</v>
      </c>
      <c r="H23" s="198">
        <v>119.58166999999999</v>
      </c>
      <c r="I23" s="198">
        <v>34.81147</v>
      </c>
      <c r="J23" s="198">
        <v>251.27472</v>
      </c>
      <c r="K23" s="198">
        <v>2396.6480799999999</v>
      </c>
      <c r="L23" s="198">
        <v>3.7647500000000003</v>
      </c>
      <c r="M23" s="198">
        <v>24.276879999999998</v>
      </c>
      <c r="N23" s="198">
        <v>139.67984000000001</v>
      </c>
      <c r="O23" s="198">
        <v>26.213099999999997</v>
      </c>
      <c r="P23" s="198">
        <v>10381.917640000001</v>
      </c>
    </row>
    <row r="24" spans="2:16" hidden="1">
      <c r="B24" s="195"/>
      <c r="C24" s="187">
        <v>0</v>
      </c>
      <c r="D24" s="198">
        <v>0</v>
      </c>
      <c r="E24" s="198">
        <v>45.016500000000001</v>
      </c>
      <c r="F24" s="198">
        <v>0</v>
      </c>
      <c r="G24" s="198">
        <v>0</v>
      </c>
      <c r="H24" s="198">
        <v>19.056999999999999</v>
      </c>
      <c r="I24" s="198">
        <v>0</v>
      </c>
      <c r="J24" s="198">
        <v>25.065000000000001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89.138499999999993</v>
      </c>
    </row>
    <row r="25" spans="2:16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18663.567689999996</v>
      </c>
      <c r="H25" s="198">
        <v>0</v>
      </c>
      <c r="I25" s="198">
        <v>0</v>
      </c>
      <c r="J25" s="198">
        <v>0</v>
      </c>
      <c r="K25" s="198">
        <v>0</v>
      </c>
      <c r="L25" s="198">
        <v>4493.92</v>
      </c>
      <c r="M25" s="198">
        <v>137.12486999999999</v>
      </c>
      <c r="N25" s="198">
        <v>4.8155100000000006</v>
      </c>
      <c r="O25" s="198">
        <v>0</v>
      </c>
      <c r="P25" s="198">
        <v>23299.428069999994</v>
      </c>
    </row>
    <row r="26" spans="2:16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43.356819999999992</v>
      </c>
      <c r="G26" s="198">
        <v>1.7426200000000001</v>
      </c>
      <c r="H26" s="198">
        <v>771.81259</v>
      </c>
      <c r="I26" s="198">
        <v>3.47668</v>
      </c>
      <c r="J26" s="198">
        <v>10.738350000000001</v>
      </c>
      <c r="K26" s="198">
        <v>0</v>
      </c>
      <c r="L26" s="198">
        <v>18.134139999999999</v>
      </c>
      <c r="M26" s="198">
        <v>44.998870000000004</v>
      </c>
      <c r="N26" s="198">
        <v>20.084460000000004</v>
      </c>
      <c r="O26" s="198">
        <v>81.033630000000002</v>
      </c>
      <c r="P26" s="198">
        <v>995.37815999999998</v>
      </c>
    </row>
    <row r="27" spans="2:16" ht="24.95" customHeight="1">
      <c r="B27" s="195"/>
      <c r="C27" s="202" t="str">
        <f>+IF(Índice!$D$2=1,"Despesa de capital","Capital expenditure")</f>
        <v>Despesa de capital</v>
      </c>
      <c r="D27" s="32">
        <v>100</v>
      </c>
      <c r="E27" s="32">
        <v>6.3198299999999996</v>
      </c>
      <c r="F27" s="32">
        <v>8129.9580599999999</v>
      </c>
      <c r="G27" s="32">
        <v>13990.432349999999</v>
      </c>
      <c r="H27" s="32">
        <v>14650.962530000001</v>
      </c>
      <c r="I27" s="32">
        <v>1084.12878</v>
      </c>
      <c r="J27" s="32">
        <v>4776.6003300000002</v>
      </c>
      <c r="K27" s="32">
        <v>1400.77251</v>
      </c>
      <c r="L27" s="32">
        <v>2775.7845499999994</v>
      </c>
      <c r="M27" s="32">
        <v>1384.0802700000002</v>
      </c>
      <c r="N27" s="32">
        <v>7144.4203100000004</v>
      </c>
      <c r="O27" s="32">
        <v>105478.49418000005</v>
      </c>
      <c r="P27" s="32">
        <v>160921.95370000007</v>
      </c>
    </row>
    <row r="28" spans="2:16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6.3198299999999996</v>
      </c>
      <c r="F28" s="198">
        <v>2720.1651899999988</v>
      </c>
      <c r="G28" s="198">
        <v>34.998580000000004</v>
      </c>
      <c r="H28" s="198">
        <v>11397.095660000001</v>
      </c>
      <c r="I28" s="198">
        <v>13.69567</v>
      </c>
      <c r="J28" s="198">
        <v>4376.6711500000001</v>
      </c>
      <c r="K28" s="198">
        <v>12.794490000000001</v>
      </c>
      <c r="L28" s="198">
        <v>1142.6655799999999</v>
      </c>
      <c r="M28" s="198">
        <v>887.18052000000012</v>
      </c>
      <c r="N28" s="198">
        <v>744.46839</v>
      </c>
      <c r="O28" s="198">
        <v>92535.373480000053</v>
      </c>
      <c r="P28" s="198">
        <v>113871.42854000005</v>
      </c>
    </row>
    <row r="29" spans="2:16" ht="15" customHeight="1">
      <c r="C29" s="104" t="str">
        <f>+IF(Índice!$D$2=1,"Transferências capital","Capital transfers")</f>
        <v>Transferências capital</v>
      </c>
      <c r="D29" s="196">
        <v>100</v>
      </c>
      <c r="E29" s="196">
        <v>0</v>
      </c>
      <c r="F29" s="196">
        <v>5409.7928700000011</v>
      </c>
      <c r="G29" s="196">
        <v>13955.43377</v>
      </c>
      <c r="H29" s="196">
        <v>3253.8668699999998</v>
      </c>
      <c r="I29" s="196">
        <v>1070.4331099999999</v>
      </c>
      <c r="J29" s="196">
        <v>399.92917999999997</v>
      </c>
      <c r="K29" s="196">
        <v>1387.97802</v>
      </c>
      <c r="L29" s="196">
        <v>1633.1189699999998</v>
      </c>
      <c r="M29" s="196">
        <v>496.89974999999998</v>
      </c>
      <c r="N29" s="196">
        <v>6399.9519200000004</v>
      </c>
      <c r="O29" s="196">
        <v>12943.120700000001</v>
      </c>
      <c r="P29" s="196">
        <v>47050.525159999997</v>
      </c>
    </row>
    <row r="30" spans="2:16" ht="15" customHeight="1">
      <c r="C30" s="109" t="str">
        <f>IF(Índice!$D$2=1,"Administração Pública","Public Administration")</f>
        <v>Administração Pública</v>
      </c>
      <c r="D30" s="200">
        <v>100</v>
      </c>
      <c r="E30" s="200">
        <v>0</v>
      </c>
      <c r="F30" s="200">
        <v>2969.2373900000007</v>
      </c>
      <c r="G30" s="200">
        <v>13955.43377</v>
      </c>
      <c r="H30" s="200">
        <v>3022.8867399999999</v>
      </c>
      <c r="I30" s="200">
        <v>968.58711000000005</v>
      </c>
      <c r="J30" s="200">
        <v>0</v>
      </c>
      <c r="K30" s="200">
        <v>62.624679999999998</v>
      </c>
      <c r="L30" s="200">
        <v>94.789089999999987</v>
      </c>
      <c r="M30" s="200">
        <v>496.89974999999998</v>
      </c>
      <c r="N30" s="200">
        <v>6399.9519200000004</v>
      </c>
      <c r="O30" s="200">
        <v>11609.446180000001</v>
      </c>
      <c r="P30" s="200">
        <v>39679.856630000002</v>
      </c>
    </row>
    <row r="31" spans="2:16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496.89974999999998</v>
      </c>
      <c r="N31" s="198">
        <v>6272.6571800000002</v>
      </c>
      <c r="O31" s="198">
        <v>0</v>
      </c>
      <c r="P31" s="198">
        <v>6769.5569299999997</v>
      </c>
    </row>
    <row r="32" spans="2:16" ht="15" customHeight="1">
      <c r="C32" s="201" t="str">
        <f>IF(Índice!$D$2=1,"Administração Regional","Regional Administration")</f>
        <v>Administração Regional</v>
      </c>
      <c r="D32" s="198">
        <v>100</v>
      </c>
      <c r="E32" s="198">
        <v>0</v>
      </c>
      <c r="F32" s="198">
        <v>2969.2373900000007</v>
      </c>
      <c r="G32" s="198">
        <v>13955.43377</v>
      </c>
      <c r="H32" s="198">
        <v>2199.9399400000002</v>
      </c>
      <c r="I32" s="198">
        <v>968.58711000000005</v>
      </c>
      <c r="J32" s="198">
        <v>0</v>
      </c>
      <c r="K32" s="198">
        <v>62.624679999999998</v>
      </c>
      <c r="L32" s="198">
        <v>94.789089999999987</v>
      </c>
      <c r="M32" s="198">
        <v>0</v>
      </c>
      <c r="N32" s="198">
        <v>127.29474000000002</v>
      </c>
      <c r="O32" s="198">
        <v>11609.446180000001</v>
      </c>
      <c r="P32" s="198">
        <v>32087.352900000005</v>
      </c>
    </row>
    <row r="33" spans="1:171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822.94679999999994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822.94679999999994</v>
      </c>
    </row>
    <row r="34" spans="1:171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2440.55548</v>
      </c>
      <c r="G35" s="200">
        <v>0</v>
      </c>
      <c r="H35" s="200">
        <v>230.98013</v>
      </c>
      <c r="I35" s="200">
        <v>101.846</v>
      </c>
      <c r="J35" s="200">
        <v>399.92917999999997</v>
      </c>
      <c r="K35" s="200">
        <v>1325.3533400000001</v>
      </c>
      <c r="L35" s="200">
        <v>1538.3298799999998</v>
      </c>
      <c r="M35" s="200">
        <v>0</v>
      </c>
      <c r="N35" s="200">
        <v>0</v>
      </c>
      <c r="O35" s="200">
        <v>1333.67452</v>
      </c>
      <c r="P35" s="200">
        <v>7370.6685300000008</v>
      </c>
    </row>
    <row r="36" spans="1:171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14597</v>
      </c>
      <c r="E38" s="204">
        <v>2748.7227000000003</v>
      </c>
      <c r="F38" s="204">
        <v>452505.33781999972</v>
      </c>
      <c r="G38" s="204">
        <v>56637.052949999983</v>
      </c>
      <c r="H38" s="204">
        <v>214273.99785999997</v>
      </c>
      <c r="I38" s="204">
        <v>415760.74854000006</v>
      </c>
      <c r="J38" s="204">
        <v>42127.53624999999</v>
      </c>
      <c r="K38" s="204">
        <v>24863.608239999998</v>
      </c>
      <c r="L38" s="204">
        <v>23026.996029999998</v>
      </c>
      <c r="M38" s="204">
        <v>8845.9888900000005</v>
      </c>
      <c r="N38" s="204">
        <v>36560.417220000003</v>
      </c>
      <c r="O38" s="204">
        <v>214937.78231000007</v>
      </c>
      <c r="P38" s="204">
        <v>1506885.1888099997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17311.063910000001</v>
      </c>
      <c r="H40" s="208">
        <v>3649.8625499999998</v>
      </c>
      <c r="I40" s="208">
        <v>75000</v>
      </c>
      <c r="J40" s="208">
        <v>0</v>
      </c>
      <c r="K40" s="208">
        <v>0</v>
      </c>
      <c r="L40" s="208">
        <v>0</v>
      </c>
      <c r="M40" s="208">
        <v>0</v>
      </c>
      <c r="N40" s="208">
        <v>141.374</v>
      </c>
      <c r="O40" s="208">
        <v>11934.03584</v>
      </c>
      <c r="P40" s="208">
        <v>108036.3363</v>
      </c>
    </row>
    <row r="41" spans="1:171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256439.51332999999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256439.51332999999</v>
      </c>
    </row>
    <row r="42" spans="1:171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213959.78957000005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9/2021/M, de 27 de agosto","Note: Organic structure approved by Regional Legislative Decree nr. 18/2020/M of january 31st, in force under Article 19th of Regional Regulatory Decree nr. 9/2021/M of august 27th")</f>
        <v>Nota: Estrutura orgânica aprovada pelo Decreto Legislativo Regional n.º 18/2020/M, de 31 de janeiro, em vigor ao abrigo do n.º 1 do artigo 19.º do Decreto Regulamentar Regional n.º 9/2021/M, de 27 de agosto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6" t="str">
        <f>+IF(Índice!$D$2=1,"Fonte: Secretaria Regional das Finanças","Source: Regional Finance Secretariat")</f>
        <v>Fonte: Secretaria Regional das Finanças</v>
      </c>
      <c r="D47" s="336" t="str">
        <f>+IF(Índice!$D$2="PT","Fonte: Vice-Presidência do Governo Regional","Source: Vice-Presidency of the Regional Government")</f>
        <v>Source: Vice-Presidency of the Regional Government</v>
      </c>
      <c r="E47" s="336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N30" sqref="N30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(janeiro-dezembro)","TABLE IX - RPEs global balance (january-december)")</f>
        <v>QUADRO IX - Saldo Global do Subsetor - EPR (janeiro-dezembro)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2022</v>
      </c>
      <c r="E3" s="173">
        <v>2023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-22406.68452000001</v>
      </c>
      <c r="E5" s="82">
        <v>-12372.797889999638</v>
      </c>
    </row>
    <row r="6" spans="2:7">
      <c r="B6" s="29"/>
      <c r="C6" s="103"/>
      <c r="D6" s="103"/>
      <c r="E6" s="103"/>
    </row>
    <row r="7" spans="2:7">
      <c r="B7" s="29"/>
      <c r="C7" s="336" t="str">
        <f>+IF(Índice!$D$2=1,"Fonte: Secretaria Regional das Finanças","Source: Regional Finance Secretariat")</f>
        <v>Fonte: Secretaria Regional das Finanças</v>
      </c>
      <c r="D7" s="336" t="str">
        <f>+IF(Índice!$D$2="PT","Fonte: Vice-Presidência do Governo Regional","Source: Vice-Presidency of the Regional Government")</f>
        <v>Source: Vice-Presidency of the Regional Government</v>
      </c>
      <c r="E7" s="336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N30" sqref="N30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7" t="str">
        <f>+IF(Índice!$D$2=1,"QUADRO X - Execução orçamental dos Serviços e Fundos Autónomos e EPR (janeiro-dezembro)","TABLE X - ASFs and RPEs budget execution (january-december)")</f>
        <v>QUADRO X - Execução orçamental dos Serviços e Fundos Autónomos e EPR (janeiro-dezembro)</v>
      </c>
      <c r="D2" s="338"/>
      <c r="E2" s="338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5097.7159900004044</v>
      </c>
      <c r="E4" s="98">
        <v>-12372.797889999638</v>
      </c>
      <c r="F4" s="98">
        <v>-7275.0818999992334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525204.24418999976</v>
      </c>
      <c r="E7" s="74">
        <v>392837.28258999973</v>
      </c>
      <c r="F7" s="74">
        <v>918041.52677999949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5242.5212000004049</v>
      </c>
      <c r="E8" s="74">
        <v>-3987.1497299996408</v>
      </c>
      <c r="F8" s="74">
        <v>1255.371470000764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5056.9059700004291</v>
      </c>
      <c r="E9" s="74">
        <v>-7793.2921199995908</v>
      </c>
      <c r="F9" s="74">
        <v>-2736.3861499991035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40.81001999998989</v>
      </c>
      <c r="E10" s="74">
        <v>-4579.5057700000034</v>
      </c>
      <c r="F10" s="74">
        <v>-4538.6957500000208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6" t="str">
        <f>+IF(Índice!$D$2=1,"Fonte: Secretaria Regional das Finanças","Source: Regional Finance Secretariat")</f>
        <v>Fonte: Secretaria Regional das Finanças</v>
      </c>
      <c r="D12" s="336" t="str">
        <f>+IF(Índice!$D$2="PT","Fonte: Vice-Presidência do Governo Regional","Source: Vice-Presidency of the Regional Government")</f>
        <v>Source: Vice-Presidency of the Regional Government</v>
      </c>
      <c r="E12" s="336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N30" sqref="N30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33.75">
      <c r="B2" s="16"/>
      <c r="C2" s="260" t="str">
        <f>+IF(Índice!$D$2=1,"QUADRO XI - Execução orçamental dos Serviços e Fundos Autónomos e EPR (janeiro-dezembro)","TABLE XI - ASFs and RPEs budget execution (january-december)")</f>
        <v>QUADRO XI - Execução orçamental dos Serviços e Fundos Autónomos e EPR (janeiro-dezembro)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503822.1967600002</v>
      </c>
      <c r="E4" s="108">
        <v>352925.14533000009</v>
      </c>
      <c r="F4" s="108">
        <v>856747.34209000028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4105.6796300000005</v>
      </c>
      <c r="E8" s="74">
        <v>7487.6832300000005</v>
      </c>
      <c r="F8" s="74">
        <v>11593.362860000001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494429.64140000014</v>
      </c>
      <c r="E9" s="74">
        <v>311206.66956000007</v>
      </c>
      <c r="F9" s="74">
        <v>805636.31096000015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38283.104760000002</v>
      </c>
      <c r="E10" s="74">
        <v>3014.7086600000002</v>
      </c>
      <c r="F10" s="74">
        <v>41297.813420000006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454955.80643000011</v>
      </c>
      <c r="E11" s="74">
        <v>306894.99829000008</v>
      </c>
      <c r="F11" s="74">
        <v>761850.80472000013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4153.6521999999995</v>
      </c>
      <c r="E12" s="74">
        <v>14809.592939999999</v>
      </c>
      <c r="F12" s="74">
        <v>18963.245139999999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1133.2235300000007</v>
      </c>
      <c r="E13" s="74">
        <v>19421.1996</v>
      </c>
      <c r="F13" s="74">
        <v>20554.423129999999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26624.568629999994</v>
      </c>
      <c r="E14" s="83">
        <v>35924.987530000006</v>
      </c>
      <c r="F14" s="83">
        <v>62549.55616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683.87698</v>
      </c>
      <c r="F15" s="34">
        <v>683.87698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26493.092729999993</v>
      </c>
      <c r="E16" s="34">
        <v>35197.62934</v>
      </c>
      <c r="F16" s="74">
        <v>61690.722069999989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13359.920639999998</v>
      </c>
      <c r="E17" s="34">
        <v>16805.606649999998</v>
      </c>
      <c r="F17" s="74">
        <v>30165.527289999998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13133.172089999995</v>
      </c>
      <c r="E18" s="74">
        <v>18392.022690000002</v>
      </c>
      <c r="F18" s="74">
        <v>31525.194779999998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19.065300000000001</v>
      </c>
      <c r="F19" s="74">
        <v>19.065300000000001</v>
      </c>
    </row>
    <row r="20" spans="2:6" ht="11.25" customHeight="1">
      <c r="C20" s="110" t="str">
        <f>+IF(Índice!$D$2=1,"Receita efetiva","Effective revenue")</f>
        <v>Receita efetiva</v>
      </c>
      <c r="D20" s="83">
        <v>530446.76539000019</v>
      </c>
      <c r="E20" s="83">
        <v>388850.13286000007</v>
      </c>
      <c r="F20" s="83">
        <v>919296.89825000032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498765.29078999977</v>
      </c>
      <c r="E22" s="83">
        <v>360718.43744999968</v>
      </c>
      <c r="F22" s="83">
        <v>859483.72823999939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52820.870659999979</v>
      </c>
      <c r="E23" s="74">
        <v>255372.32650999981</v>
      </c>
      <c r="F23" s="74">
        <v>308193.19716999977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112186.84097999985</v>
      </c>
      <c r="E24" s="74">
        <v>81994.558219999919</v>
      </c>
      <c r="F24" s="74">
        <v>194181.39919999975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144.80521000000002</v>
      </c>
      <c r="E25" s="74">
        <v>8385.648159999997</v>
      </c>
      <c r="F25" s="74">
        <v>8530.4533699999974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327755.66532999993</v>
      </c>
      <c r="E26" s="74">
        <v>12955.064069999997</v>
      </c>
      <c r="F26" s="74">
        <v>340710.72939999995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2289.0872800000002</v>
      </c>
      <c r="E27" s="74">
        <v>0</v>
      </c>
      <c r="F27" s="59">
        <v>2289.0872800000002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325466.57804999995</v>
      </c>
      <c r="E28" s="74">
        <v>12955.064069999997</v>
      </c>
      <c r="F28" s="59">
        <v>338421.64211999997</v>
      </c>
    </row>
    <row r="29" spans="2:6" ht="11.25" customHeight="1">
      <c r="C29" s="104" t="str">
        <f>+IF(Índice!$D$2=1,"Subsídios","Subsidies")</f>
        <v>Subsídios</v>
      </c>
      <c r="D29" s="74">
        <v>5675.834789999999</v>
      </c>
      <c r="E29" s="74">
        <v>0.80500000000000005</v>
      </c>
      <c r="F29" s="74">
        <v>5676.6397899999993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181.27382</v>
      </c>
      <c r="E30" s="74">
        <v>2010.0354899999998</v>
      </c>
      <c r="F30" s="74">
        <v>2191.3093099999996</v>
      </c>
    </row>
    <row r="31" spans="2:6" ht="11.25" customHeight="1">
      <c r="C31" s="110" t="str">
        <f>+IF(Índice!$D$2=1,"Despesa de capital","Capital expenditure")</f>
        <v>Despesa de capital</v>
      </c>
      <c r="D31" s="83">
        <v>26583.758610000004</v>
      </c>
      <c r="E31" s="83">
        <v>40504.493300000009</v>
      </c>
      <c r="F31" s="83">
        <v>67088.251910000021</v>
      </c>
    </row>
    <row r="32" spans="2:6" ht="11.25" customHeight="1">
      <c r="C32" s="104" t="str">
        <f>+IF(Índice!$D$2=1,"Investimento","Investment")</f>
        <v>Investimento</v>
      </c>
      <c r="D32" s="74">
        <v>4835.0117300000011</v>
      </c>
      <c r="E32" s="74">
        <v>39936.991190000008</v>
      </c>
      <c r="F32" s="74">
        <v>44772.002920000006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21740.491270000002</v>
      </c>
      <c r="E33" s="74">
        <v>567.50211000000002</v>
      </c>
      <c r="F33" s="74">
        <v>22307.993380000004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8.2556100000000008</v>
      </c>
      <c r="E34" s="59">
        <v>0</v>
      </c>
      <c r="F34" s="59">
        <v>8.2556100000000008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525349.04939999979</v>
      </c>
      <c r="E36" s="83">
        <v>401222.93074999971</v>
      </c>
      <c r="F36" s="83">
        <v>926571.98014999949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9079.0727900000002</v>
      </c>
      <c r="E38" s="35">
        <v>1096.5602099999999</v>
      </c>
      <c r="F38" s="35">
        <v>10175.633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99119.111400000009</v>
      </c>
      <c r="F39" s="35">
        <v>99119.111400000009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8.2556100000000008</v>
      </c>
      <c r="E40" s="35">
        <v>0</v>
      </c>
      <c r="F40" s="35">
        <v>8.2556100000000008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5097.7159900004044</v>
      </c>
      <c r="E44" s="114">
        <v>-12372.797889999638</v>
      </c>
      <c r="F44" s="114">
        <v>-7275.0818999992334</v>
      </c>
    </row>
    <row r="45" spans="3:6" ht="15" customHeight="1">
      <c r="C45" s="336" t="str">
        <f>+IF(Índice!$D$2=1,"Fonte: Secretaria Regional das Finanças","Source: Regional Finance Secretariat")</f>
        <v>Fonte: Secretaria Regional das Finanças</v>
      </c>
      <c r="D45" s="336" t="str">
        <f>+IF(Índice!$D$2="PT","Fonte: Vice-Presidência do Governo Regional","Source: Vice-Presidency of the Regional Government")</f>
        <v>Source: Vice-Presidency of the Regional Government</v>
      </c>
      <c r="E45" s="336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N30" sqref="N30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(dezembro)","TABLE XII - ASFs and RPEs budget execution (december)")</f>
        <v>QUADRO XII - Execução orçamental dos Serviços e Fundos Autónomos e EPR (dezembro)</v>
      </c>
      <c r="D2" s="306"/>
      <c r="E2" s="306"/>
      <c r="F2" s="307" t="str">
        <f>+IF(Índice!$D$2=1,"€ Milhares","€ Thousands")</f>
        <v>€ Milhares</v>
      </c>
      <c r="H2" s="291" t="str">
        <f>+IF(Índice!$D$2=1,"índice","Index")</f>
        <v>índice</v>
      </c>
    </row>
    <row r="3" spans="2:8" ht="12.75">
      <c r="B3"/>
      <c r="C3" s="308"/>
      <c r="D3" s="309" t="str">
        <f>+IF(Índice!$D$2=1,"dezembro 2023","december 2023")</f>
        <v>dezembro 2023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SFA execução mensal</v>
      </c>
      <c r="E4" s="314" t="str">
        <f>+IF(Índice!$D$2=1,"EPR execução mensal","RPE monthly execution")</f>
        <v>EPR execução mensal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Receita corrente</v>
      </c>
      <c r="D5" s="317">
        <v>47695.557750000218</v>
      </c>
      <c r="E5" s="317">
        <v>31853.01728</v>
      </c>
      <c r="F5" s="317">
        <v>79548.575030000211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47695.557750000218</v>
      </c>
      <c r="E9" s="74">
        <v>31853.01728</v>
      </c>
      <c r="F9" s="74">
        <v>79548.575030000211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46949.84697000021</v>
      </c>
      <c r="E10" s="74">
        <v>28857.539879999997</v>
      </c>
      <c r="F10" s="74">
        <v>75807.386850000214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1213.7612799999954</v>
      </c>
      <c r="E11" s="83">
        <v>6136.8064800000038</v>
      </c>
      <c r="F11" s="83">
        <v>7350.567759999999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157.94999999999999</v>
      </c>
      <c r="F12" s="34">
        <v>157.94999999999999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1198.0947899999953</v>
      </c>
      <c r="E13" s="34">
        <v>5978.3956600000038</v>
      </c>
      <c r="F13" s="74">
        <v>7176.4904499999993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48909.319030000217</v>
      </c>
      <c r="E15" s="83">
        <v>37989.823760000007</v>
      </c>
      <c r="F15" s="83">
        <v>86899.142790000216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52631.475559999832</v>
      </c>
      <c r="E17" s="83">
        <v>39230.983459999828</v>
      </c>
      <c r="F17" s="83">
        <v>91862.45901999966</v>
      </c>
    </row>
    <row r="18" spans="3:6" ht="11.25" customHeight="1">
      <c r="C18" s="104" t="str">
        <f>+IF(Índice!$D$2=1,"Consumo público","Public consumption")</f>
        <v>Consumo público</v>
      </c>
      <c r="D18" s="74">
        <v>20072.785929999834</v>
      </c>
      <c r="E18" s="74">
        <v>35932.188869999831</v>
      </c>
      <c r="F18" s="74">
        <v>56004.974799999662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4759.6665599999878</v>
      </c>
      <c r="E19" s="74">
        <v>19663.686310000001</v>
      </c>
      <c r="F19" s="74">
        <v>24423.352869999988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15313.119369999846</v>
      </c>
      <c r="E20" s="74">
        <v>16268.502559999828</v>
      </c>
      <c r="F20" s="74">
        <v>31581.621929999674</v>
      </c>
    </row>
    <row r="21" spans="3:6" ht="11.25" customHeight="1">
      <c r="C21" s="104" t="str">
        <f>+IF(Índice!$D$2=1,"Subsídios","Subsidies")</f>
        <v>Subsídios</v>
      </c>
      <c r="D21" s="74">
        <v>627.37416999999994</v>
      </c>
      <c r="E21" s="74">
        <v>0</v>
      </c>
      <c r="F21" s="74">
        <v>627.37416999999994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1.9383300000000163</v>
      </c>
      <c r="E22" s="74">
        <v>2225.013289999999</v>
      </c>
      <c r="F22" s="59">
        <v>2226.9516199999989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31929.377129999993</v>
      </c>
      <c r="E23" s="74">
        <v>1073.7812999999933</v>
      </c>
      <c r="F23" s="59">
        <v>33003.158429999989</v>
      </c>
    </row>
    <row r="24" spans="3:6" ht="11.25" customHeight="1">
      <c r="C24" s="110" t="str">
        <f>+IF(Índice!$D$2=1,"Despesa de capital","Capital expenditure")</f>
        <v>Despesa de capital</v>
      </c>
      <c r="D24" s="83">
        <v>3125.7074400000001</v>
      </c>
      <c r="E24" s="83">
        <v>7447.3462600000103</v>
      </c>
      <c r="F24" s="83">
        <v>10573.053700000011</v>
      </c>
    </row>
    <row r="25" spans="3:6" ht="11.25" customHeight="1">
      <c r="C25" s="104" t="str">
        <f>+IF(Índice!$D$2=1,"Investimento","Investment")</f>
        <v>Investimento</v>
      </c>
      <c r="D25" s="74">
        <v>854.16385000000059</v>
      </c>
      <c r="E25" s="74">
        <v>7202.5309500000103</v>
      </c>
      <c r="F25" s="74">
        <v>8056.6948000000111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2271.5435899999998</v>
      </c>
      <c r="E26" s="74">
        <v>244.81531000000001</v>
      </c>
      <c r="F26" s="74">
        <v>2516.3588999999997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55757.18299999983</v>
      </c>
      <c r="E29" s="83">
        <v>46678.329719999841</v>
      </c>
      <c r="F29" s="83">
        <v>102435.51271999968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Saldo global</v>
      </c>
      <c r="D31" s="319">
        <v>-6847.8639699996129</v>
      </c>
      <c r="E31" s="319">
        <v>-8688.5059599998349</v>
      </c>
      <c r="F31" s="319">
        <v>-15536.369929999448</v>
      </c>
    </row>
    <row r="32" spans="3:6" ht="15" customHeight="1">
      <c r="C32" s="336" t="str">
        <f>+IF(Índice!$D$2=1,"Fonte: Secretaria Regional das Finanças","Source: Regional Finance Secretariat")</f>
        <v>Fonte: Secretaria Regional das Finanças</v>
      </c>
      <c r="D32" s="336"/>
      <c r="E32" s="336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19" zoomScale="120" zoomScaleNormal="120" zoomScaleSheetLayoutView="100" zoomScalePageLayoutView="150" workbookViewId="0">
      <selection activeCell="N30" sqref="N30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dezembro de 2023 (valores acumulados)","Table XIII- Accounts payable of the Regional Administration, december (accumulated)")</f>
        <v>QUADRO XIII - Contas a pagar, da Administração Regional, no final de dezembro de 2023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39" t="s">
        <v>7</v>
      </c>
      <c r="D3" s="340" t="str">
        <f>+IF(Índice!$D$2=1,"dezembro 2023","december 2023")</f>
        <v>dezembro 2023</v>
      </c>
      <c r="E3" s="340" t="str">
        <f>+IF(Índice!$D$2="PT","janeiro 2020","January")</f>
        <v>January</v>
      </c>
      <c r="F3" s="340" t="str">
        <f>+IF(Índice!$D$2="PT","janeiro 2020","January")</f>
        <v>January</v>
      </c>
      <c r="G3" s="341" t="str">
        <f>+IF(Índice!$D$2=1,"Variação face ao stock inicial de janeiro","Change from period initial stock")</f>
        <v>Variação face ao stock inicial de janeiro</v>
      </c>
      <c r="H3" s="342"/>
      <c r="I3" s="342"/>
    </row>
    <row r="4" spans="2:11" ht="12.75" customHeight="1">
      <c r="C4" s="339"/>
      <c r="D4" s="343" t="str">
        <f>+IF(Índice!$D$2=1,"Stock final do período","Accumulated")</f>
        <v>Stock final do período</v>
      </c>
      <c r="E4" s="343"/>
      <c r="F4" s="343"/>
      <c r="G4" s="344" t="str">
        <f>+IF(Índice!$D$2=1,"Passivo","Liabilities")</f>
        <v>Passivo</v>
      </c>
      <c r="H4" s="344" t="str">
        <f>+IF(Índice!$D$2=1,"Contas a pagar","Accounts payable")</f>
        <v>Contas a pagar</v>
      </c>
      <c r="I4" s="346" t="str">
        <f>+IF(Índice!$D$2=1,"Pagamentos em atraso","Late payments")</f>
        <v>Pagamentos em atraso</v>
      </c>
    </row>
    <row r="5" spans="2:11" ht="22.5">
      <c r="B5" s="29"/>
      <c r="C5" s="339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45"/>
      <c r="H5" s="345"/>
      <c r="I5" s="347"/>
    </row>
    <row r="6" spans="2:11">
      <c r="B6" s="29"/>
      <c r="C6" s="119" t="str">
        <f>+IF(Índice!$D$2=1,"Despesa corrente","Current expenditure")</f>
        <v>Despesa corrente</v>
      </c>
      <c r="D6" s="162">
        <v>168162234.57999891</v>
      </c>
      <c r="E6" s="162">
        <v>158581087.60999888</v>
      </c>
      <c r="F6" s="162">
        <v>37338963.579999998</v>
      </c>
      <c r="G6" s="91">
        <v>0.45972845798653927</v>
      </c>
      <c r="H6" s="91">
        <v>0.49733093673005535</v>
      </c>
      <c r="I6" s="116">
        <v>1.4057354688904931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1278349.5299999998</v>
      </c>
      <c r="E7" s="165">
        <v>722478.35</v>
      </c>
      <c r="F7" s="165">
        <v>540.94000000000005</v>
      </c>
      <c r="G7" s="95">
        <v>0.20666252964434939</v>
      </c>
      <c r="H7" s="95">
        <v>0.3918095879617367</v>
      </c>
      <c r="I7" s="121">
        <v>-0.93876134767148445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101304724.87999888</v>
      </c>
      <c r="E8" s="165">
        <v>100669302.49999888</v>
      </c>
      <c r="F8" s="165">
        <v>35757105.369999997</v>
      </c>
      <c r="G8" s="95">
        <v>0.56961658943876792</v>
      </c>
      <c r="H8" s="95">
        <v>0.57948789554529756</v>
      </c>
      <c r="I8" s="121">
        <v>1.3851588802464949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10525192.860000001</v>
      </c>
      <c r="E9" s="165">
        <v>5337604.0999999996</v>
      </c>
      <c r="F9" s="165">
        <v>321912.84000000008</v>
      </c>
      <c r="G9" s="95">
        <v>-5.316811434969082E-2</v>
      </c>
      <c r="H9" s="95">
        <v>0.11678691195037239</v>
      </c>
      <c r="I9" s="121">
        <v>-0.13490196752907846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53191311.980000004</v>
      </c>
      <c r="E10" s="165">
        <v>49995654.870000005</v>
      </c>
      <c r="F10" s="165">
        <v>1259144.43</v>
      </c>
      <c r="G10" s="95">
        <v>0.39442785759517851</v>
      </c>
      <c r="H10" s="95">
        <v>0.36812809169347771</v>
      </c>
      <c r="I10" s="121">
        <v>7.4872514064876547</v>
      </c>
    </row>
    <row r="11" spans="2:11">
      <c r="B11" s="29"/>
      <c r="C11" s="120" t="str">
        <f>+IF(Índice!$D$2=1,"Subsídios","Subsidies")</f>
        <v>Subsídios</v>
      </c>
      <c r="D11" s="165">
        <v>1849699.0700000008</v>
      </c>
      <c r="E11" s="165">
        <v>1849699.0700000008</v>
      </c>
      <c r="F11" s="165">
        <v>0</v>
      </c>
      <c r="G11" s="95">
        <v>4.8716092645704929</v>
      </c>
      <c r="H11" s="95">
        <v>4.8716092645704929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12956.26</v>
      </c>
      <c r="E12" s="165">
        <v>6348.72</v>
      </c>
      <c r="F12" s="165">
        <v>260</v>
      </c>
      <c r="G12" s="95">
        <v>-0.45336826148352938</v>
      </c>
      <c r="H12" s="95">
        <v>-0.62905868247799024</v>
      </c>
      <c r="I12" s="121">
        <v>25</v>
      </c>
    </row>
    <row r="13" spans="2:11">
      <c r="B13" s="29"/>
      <c r="C13" s="115" t="str">
        <f>+IF(Índice!$D$2=1,"Despesa de capital","Capital expenditure")</f>
        <v>Despesa de capital</v>
      </c>
      <c r="D13" s="163">
        <v>46638136.519999996</v>
      </c>
      <c r="E13" s="163">
        <v>31475038.91</v>
      </c>
      <c r="F13" s="163">
        <v>288390.32</v>
      </c>
      <c r="G13" s="92">
        <v>-7.7593573912797753E-2</v>
      </c>
      <c r="H13" s="92">
        <v>-8.3142259202622526E-2</v>
      </c>
      <c r="I13" s="117">
        <v>-0.67859281875579502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24756616.249999996</v>
      </c>
      <c r="E14" s="165">
        <v>15781964.309999999</v>
      </c>
      <c r="F14" s="165">
        <v>288390.32</v>
      </c>
      <c r="G14" s="95">
        <v>-0.16950610557900947</v>
      </c>
      <c r="H14" s="95">
        <v>-0.2099051422544479</v>
      </c>
      <c r="I14" s="121">
        <v>-0.67859281875579502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21881520.270000003</v>
      </c>
      <c r="E15" s="165">
        <v>15693074.600000001</v>
      </c>
      <c r="F15" s="165">
        <v>0</v>
      </c>
      <c r="G15" s="95">
        <v>5.4436375424185446E-2</v>
      </c>
      <c r="H15" s="95">
        <v>9.3252835047561211E-2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214800371.09999889</v>
      </c>
      <c r="E17" s="164">
        <v>190056126.51999888</v>
      </c>
      <c r="F17" s="164">
        <v>37627353.899999999</v>
      </c>
      <c r="G17" s="147">
        <v>0.29583279633357096</v>
      </c>
      <c r="H17" s="147">
        <v>0.35523572075794063</v>
      </c>
      <c r="I17" s="148">
        <v>1.2918236605977009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139094071.92999998</v>
      </c>
      <c r="E19" s="164">
        <v>114362311.29000001</v>
      </c>
      <c r="F19" s="164">
        <v>4231183.04</v>
      </c>
      <c r="G19" s="147">
        <v>0.14739257567127062</v>
      </c>
      <c r="H19" s="147">
        <v>0.19482463661695415</v>
      </c>
      <c r="I19" s="148">
        <v>0.91677299517320909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dezembro de 2023 (valores acumulados)","Table XIV - Accounts payable of the Regional Gov., december (accumulated)")</f>
        <v>QUADRO XIV - Contas a pagar, do Governo Regional, no final de dezembro de 2023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39" t="str">
        <f>+IF(Índice!$D$2=1,"Governo Regional","Regional Government")</f>
        <v>Governo Regional</v>
      </c>
      <c r="D24" s="340" t="str">
        <f>+IF(Índice!$D$2=1,"dezembro 2023","december 2023")</f>
        <v>dezembro 2023</v>
      </c>
      <c r="E24" s="340" t="str">
        <f>+IF(Índice!$D$2="PT","janeiro 2020","January")</f>
        <v>January</v>
      </c>
      <c r="F24" s="340" t="str">
        <f>+IF(Índice!$D$2="PT","janeiro 2020","January")</f>
        <v>January</v>
      </c>
      <c r="G24" s="341" t="str">
        <f>+IF(Índice!$D$2=1,"Variação face ao stock inicial de janeiro","Change from january initial stock")</f>
        <v>Variação face ao stock inicial de janeiro</v>
      </c>
      <c r="H24" s="342"/>
      <c r="I24" s="342"/>
    </row>
    <row r="25" spans="2:9" ht="22.5" customHeight="1">
      <c r="B25" s="29"/>
      <c r="C25" s="339"/>
      <c r="D25" s="343" t="str">
        <f>+IF(Índice!$D$2=1,"Stock final do período","Accumulated")</f>
        <v>Stock final do período</v>
      </c>
      <c r="E25" s="343"/>
      <c r="F25" s="343"/>
      <c r="G25" s="344" t="str">
        <f>+IF(Índice!$D$2=1,"Passivo","Liabilities")</f>
        <v>Passivo</v>
      </c>
      <c r="H25" s="344" t="str">
        <f>+IF(Índice!$D$2=1,"Contas a pagar","Accounts payable")</f>
        <v>Contas a pagar</v>
      </c>
      <c r="I25" s="346" t="str">
        <f>+IF(Índice!$D$2=1,"Pagamentos em atraso","Late payments")</f>
        <v>Pagamentos em atraso</v>
      </c>
    </row>
    <row r="26" spans="2:9" ht="22.5">
      <c r="B26" s="29"/>
      <c r="C26" s="339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45"/>
      <c r="H26" s="345"/>
      <c r="I26" s="347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12005315.070000002</v>
      </c>
      <c r="E27" s="162">
        <v>9269016.1699999999</v>
      </c>
      <c r="F27" s="162">
        <v>1054720.8299999998</v>
      </c>
      <c r="G27" s="91">
        <v>3.6665087425203691E-2</v>
      </c>
      <c r="H27" s="91">
        <v>0.28733503378573588</v>
      </c>
      <c r="I27" s="116">
        <v>-5.5303942631327763E-2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33231337.469999999</v>
      </c>
      <c r="E28" s="163">
        <v>26785374.859999999</v>
      </c>
      <c r="F28" s="163">
        <v>630</v>
      </c>
      <c r="G28" s="92">
        <v>-0.13356271985876933</v>
      </c>
      <c r="H28" s="172">
        <v>-0.13144514428780807</v>
      </c>
      <c r="I28" s="117">
        <v>0</v>
      </c>
    </row>
    <row r="29" spans="2:9" ht="20.100000000000001" customHeight="1">
      <c r="B29" s="29"/>
      <c r="C29" s="146" t="s">
        <v>7</v>
      </c>
      <c r="D29" s="164">
        <v>45236652.539999999</v>
      </c>
      <c r="E29" s="164">
        <v>36054391.030000001</v>
      </c>
      <c r="F29" s="164">
        <v>1055350.8299999998</v>
      </c>
      <c r="G29" s="147">
        <v>-9.4083999738461821E-2</v>
      </c>
      <c r="H29" s="147">
        <v>-5.21772876220431E-2</v>
      </c>
      <c r="I29" s="148">
        <v>-5.5272753288238552E-2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dezembro de 2023 (valores acumulados)","Table XV - Accounts payable of the ASFs, december (accumulated)")</f>
        <v>QUADRO XV - Contas a pagar, dos Serviços e Fundos Autónomos, no final de dezembro de 2023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8" t="str">
        <f>+IF(Índice!$D$2=1,"Serviços e Fundos Autónomos","Autonomous Services and Funds")</f>
        <v>Serviços e Fundos Autónomos</v>
      </c>
      <c r="D33" s="340" t="str">
        <f>+IF(Índice!$D$2=1,"dezembro 2023","december 2023")</f>
        <v>dezembro 2023</v>
      </c>
      <c r="E33" s="340" t="str">
        <f>+IF(Índice!$D$2="PT","janeiro 2020","January")</f>
        <v>January</v>
      </c>
      <c r="F33" s="340" t="str">
        <f>+IF(Índice!$D$2="PT","janeiro 2020","January")</f>
        <v>January</v>
      </c>
      <c r="G33" s="341" t="str">
        <f>+IF(Índice!$D$2=1,"Variação face ao stock inicial de janeiro","Change from january initial stock")</f>
        <v>Variação face ao stock inicial de janeiro</v>
      </c>
      <c r="H33" s="342"/>
      <c r="I33" s="342"/>
    </row>
    <row r="34" spans="2:9" ht="12.75" customHeight="1">
      <c r="C34" s="349"/>
      <c r="D34" s="351" t="str">
        <f>+IF(Índice!$D$2=1,"Stock final do período","Accumulated")</f>
        <v>Stock final do período</v>
      </c>
      <c r="E34" s="352"/>
      <c r="F34" s="353"/>
      <c r="G34" s="354" t="str">
        <f>+IF(Índice!$D$2=1,"Passivo","Liabilities")</f>
        <v>Passivo</v>
      </c>
      <c r="H34" s="354" t="str">
        <f>+IF(Índice!$D$2=1,"Contas a pagar","Accounts payable")</f>
        <v>Contas a pagar</v>
      </c>
      <c r="I34" s="346" t="str">
        <f>+IF(Índice!$D$2=1,"Pagamentos em atraso","Late payments")</f>
        <v>Pagamentos em atraso</v>
      </c>
    </row>
    <row r="35" spans="2:9" ht="22.5">
      <c r="C35" s="350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45"/>
      <c r="H35" s="345"/>
      <c r="I35" s="347"/>
    </row>
    <row r="36" spans="2:9" ht="20.100000000000001" customHeight="1">
      <c r="C36" s="115" t="str">
        <f>+IF(Índice!$D$2=1,"Despesa corrente","Current expenditure")</f>
        <v>Despesa corrente</v>
      </c>
      <c r="D36" s="162">
        <v>75581077.74000001</v>
      </c>
      <c r="E36" s="162">
        <v>73017474.879999995</v>
      </c>
      <c r="F36" s="162">
        <v>3093202.2199999997</v>
      </c>
      <c r="G36" s="91">
        <v>0.41270710957015844</v>
      </c>
      <c r="H36" s="91">
        <v>0.38141843776148177</v>
      </c>
      <c r="I36" s="116">
        <v>1.8368749381566389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374742.66000000003</v>
      </c>
      <c r="E37" s="163">
        <v>374742.66000000003</v>
      </c>
      <c r="F37" s="163">
        <v>82629.990000000005</v>
      </c>
      <c r="G37" s="92">
        <v>-0.16555746540313454</v>
      </c>
      <c r="H37" s="92">
        <v>-0.16555746540313454</v>
      </c>
      <c r="I37" s="117">
        <v>0</v>
      </c>
    </row>
    <row r="38" spans="2:9" ht="20.100000000000001" customHeight="1">
      <c r="C38" s="146" t="s">
        <v>7</v>
      </c>
      <c r="D38" s="164">
        <v>75955820.400000006</v>
      </c>
      <c r="E38" s="164">
        <v>73392217.539999992</v>
      </c>
      <c r="F38" s="164">
        <v>3175832.21</v>
      </c>
      <c r="G38" s="147">
        <v>0.40789348704886574</v>
      </c>
      <c r="H38" s="147">
        <v>0.37681026258511197</v>
      </c>
      <c r="I38" s="148">
        <v>1.9126575514806179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dezembro de 2023 (valores acumulados)","Table XVI - Accounts payable of the RPEs, december (accumulated)")</f>
        <v>QUADRO XVI - Contas a pagar, das Entidades Públicas Reclassseicadas, no final de dezembro de 2023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8" t="str">
        <f>+IF(Índice!$D$2=1,"Entidades Públicas Reclassseicadas","Reclassseied Public Entities")</f>
        <v>Entidades Públicas Reclassseicadas</v>
      </c>
      <c r="D42" s="340" t="str">
        <f>+IF(Índice!$D$2=1,"dezembro 2023","december 2023")</f>
        <v>dezembro 2023</v>
      </c>
      <c r="E42" s="340" t="str">
        <f>+IF(Índice!$D$2="PT","janeiro 2020","January")</f>
        <v>January</v>
      </c>
      <c r="F42" s="340" t="str">
        <f>+IF(Índice!$D$2="PT","janeiro 2020","January")</f>
        <v>January</v>
      </c>
      <c r="G42" s="341" t="str">
        <f>+IF(Índice!$D$2=1,"Variação face ao stock inicial de janeiro","Change from january initial stock")</f>
        <v>Variação face ao stock inicial de janeiro</v>
      </c>
      <c r="H42" s="342"/>
      <c r="I42" s="342"/>
    </row>
    <row r="43" spans="2:9" ht="12.75" customHeight="1">
      <c r="C43" s="349"/>
      <c r="D43" s="351" t="str">
        <f>+IF(Índice!$D$2=1,"Stock final do período","Accumulated")</f>
        <v>Stock final do período</v>
      </c>
      <c r="E43" s="352"/>
      <c r="F43" s="353"/>
      <c r="G43" s="344" t="str">
        <f>+IF(Índice!$D$2=1,"Passivo","Liabilities")</f>
        <v>Passivo</v>
      </c>
      <c r="H43" s="344" t="str">
        <f>+IF(Índice!$D$2=1,"Contas a pagar","Accounts payable")</f>
        <v>Contas a pagar</v>
      </c>
      <c r="I43" s="346" t="str">
        <f>+IF(Índice!$D$2=1,"Pagamentos em atraso","Late payments")</f>
        <v>Pagamentos em atraso</v>
      </c>
    </row>
    <row r="44" spans="2:9" ht="22.5">
      <c r="C44" s="350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45"/>
      <c r="H44" s="345"/>
      <c r="I44" s="347"/>
    </row>
    <row r="45" spans="2:9" ht="20.100000000000001" customHeight="1">
      <c r="C45" s="115" t="str">
        <f>+IF(Índice!$D$2=1,"Despesa corrente","Current expenditure")</f>
        <v>Despesa corrente</v>
      </c>
      <c r="D45" s="162">
        <v>80575841.769998893</v>
      </c>
      <c r="E45" s="162">
        <v>76294596.559998885</v>
      </c>
      <c r="F45" s="162">
        <v>33191040.530000001</v>
      </c>
      <c r="G45" s="91">
        <v>0.60767615141369791</v>
      </c>
      <c r="H45" s="91">
        <v>0.6639268315010427</v>
      </c>
      <c r="I45" s="116">
        <v>1.4929448870825968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13032056.390000001</v>
      </c>
      <c r="E46" s="163">
        <v>4314921.3899999997</v>
      </c>
      <c r="F46" s="163">
        <v>205130.33</v>
      </c>
      <c r="G46" s="92">
        <v>0.10833030635960927</v>
      </c>
      <c r="H46" s="92">
        <v>0.41884834384729563</v>
      </c>
      <c r="I46" s="117">
        <v>-0.77122434227076331</v>
      </c>
    </row>
    <row r="47" spans="2:9" ht="20.100000000000001" customHeight="1">
      <c r="C47" s="146" t="s">
        <v>7</v>
      </c>
      <c r="D47" s="164">
        <v>93607898.159998894</v>
      </c>
      <c r="E47" s="164">
        <v>80609517.949998885</v>
      </c>
      <c r="F47" s="164">
        <v>33396170.859999999</v>
      </c>
      <c r="G47" s="147">
        <v>0.51278825218780466</v>
      </c>
      <c r="H47" s="147">
        <v>0.64868304179200242</v>
      </c>
      <c r="I47" s="148">
        <v>1.3500832809140748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4"/>
  <sheetViews>
    <sheetView showGridLines="0" topLeftCell="A71" zoomScale="85" zoomScaleNormal="85" workbookViewId="0">
      <selection activeCell="J109" sqref="J109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19</v>
      </c>
      <c r="D10" s="170"/>
      <c r="E10" s="169"/>
    </row>
    <row r="11" spans="2:5">
      <c r="B11" s="195"/>
      <c r="C11" s="170" t="s">
        <v>97</v>
      </c>
      <c r="D11" s="170"/>
      <c r="E11" s="169"/>
    </row>
    <row r="12" spans="2:5">
      <c r="B12" s="195"/>
      <c r="C12" s="170" t="s">
        <v>20</v>
      </c>
      <c r="D12" s="170"/>
      <c r="E12" s="169"/>
    </row>
    <row r="13" spans="2:5">
      <c r="B13" s="195"/>
      <c r="C13" s="170" t="s">
        <v>21</v>
      </c>
      <c r="D13" s="170"/>
      <c r="E13" s="169"/>
    </row>
    <row r="14" spans="2:5">
      <c r="B14" s="195"/>
      <c r="C14" s="170" t="s">
        <v>22</v>
      </c>
      <c r="D14" s="170"/>
      <c r="E14" s="169"/>
    </row>
    <row r="15" spans="2:5">
      <c r="B15" s="195"/>
      <c r="C15" s="170" t="s">
        <v>23</v>
      </c>
      <c r="D15" s="170"/>
      <c r="E15" s="169"/>
    </row>
    <row r="16" spans="2:5">
      <c r="B16" s="195"/>
      <c r="C16" s="170" t="s">
        <v>24</v>
      </c>
      <c r="D16" s="170"/>
      <c r="E16" s="169"/>
    </row>
    <row r="17" spans="2:5">
      <c r="B17" s="195"/>
      <c r="C17" s="170" t="s">
        <v>25</v>
      </c>
      <c r="D17" s="171"/>
      <c r="E17" s="169"/>
    </row>
    <row r="18" spans="2:5">
      <c r="B18" s="195"/>
      <c r="C18" s="170" t="s">
        <v>26</v>
      </c>
      <c r="D18" s="170"/>
      <c r="E18" s="169"/>
    </row>
    <row r="19" spans="2:5">
      <c r="B19" s="195"/>
      <c r="C19" s="170" t="s">
        <v>27</v>
      </c>
      <c r="D19" s="170"/>
      <c r="E19" s="169"/>
    </row>
    <row r="20" spans="2:5">
      <c r="B20" s="195"/>
      <c r="C20" s="170" t="s">
        <v>28</v>
      </c>
      <c r="D20" s="170"/>
      <c r="E20" s="169"/>
    </row>
    <row r="21" spans="2:5">
      <c r="B21" s="195"/>
      <c r="C21" s="170" t="s">
        <v>29</v>
      </c>
      <c r="D21" s="170"/>
      <c r="E21" s="169"/>
    </row>
    <row r="22" spans="2:5">
      <c r="B22" s="195"/>
      <c r="C22" s="170" t="s">
        <v>30</v>
      </c>
      <c r="D22" s="170"/>
      <c r="E22" s="169"/>
    </row>
    <row r="23" spans="2:5">
      <c r="B23" s="195"/>
      <c r="C23" s="170" t="s">
        <v>31</v>
      </c>
      <c r="D23" s="170"/>
      <c r="E23" s="169"/>
    </row>
    <row r="24" spans="2:5">
      <c r="B24" s="195"/>
      <c r="C24" s="170" t="s">
        <v>32</v>
      </c>
      <c r="D24" s="170"/>
      <c r="E24" s="169"/>
    </row>
    <row r="25" spans="2:5">
      <c r="B25" s="195"/>
      <c r="C25" s="170" t="s">
        <v>101</v>
      </c>
      <c r="D25" s="170"/>
      <c r="E25" s="169"/>
    </row>
    <row r="26" spans="2:5">
      <c r="B26" s="195"/>
      <c r="C26" s="170" t="s">
        <v>33</v>
      </c>
      <c r="D26" s="170"/>
      <c r="E26" s="169"/>
    </row>
    <row r="27" spans="2:5">
      <c r="B27" s="195"/>
      <c r="C27" s="170" t="s">
        <v>34</v>
      </c>
      <c r="D27" s="170"/>
      <c r="E27" s="169"/>
    </row>
    <row r="28" spans="2:5">
      <c r="B28" s="195"/>
      <c r="C28" s="170" t="s">
        <v>35</v>
      </c>
      <c r="D28" s="170"/>
      <c r="E28" s="169"/>
    </row>
    <row r="29" spans="2:5">
      <c r="B29" s="55"/>
      <c r="C29" s="170" t="s">
        <v>36</v>
      </c>
      <c r="D29" s="170"/>
      <c r="E29" s="169"/>
    </row>
    <row r="30" spans="2:5">
      <c r="B30" s="55"/>
      <c r="C30" s="170" t="s">
        <v>37</v>
      </c>
      <c r="D30" s="170"/>
      <c r="E30" s="169"/>
    </row>
    <row r="31" spans="2:5">
      <c r="B31" s="55"/>
      <c r="C31" s="170" t="s">
        <v>38</v>
      </c>
      <c r="D31" s="170"/>
      <c r="E31" s="169"/>
    </row>
    <row r="32" spans="2:5">
      <c r="B32" s="55"/>
      <c r="C32" s="170" t="s">
        <v>39</v>
      </c>
      <c r="D32" s="170"/>
      <c r="E32" s="169"/>
    </row>
    <row r="33" spans="2:5">
      <c r="B33" s="55"/>
      <c r="C33" s="170" t="s">
        <v>40</v>
      </c>
      <c r="D33" s="170"/>
      <c r="E33" s="169"/>
    </row>
    <row r="34" spans="2:5">
      <c r="B34" s="55"/>
      <c r="C34" s="170" t="s">
        <v>41</v>
      </c>
      <c r="D34" s="170"/>
      <c r="E34" s="169"/>
    </row>
    <row r="35" spans="2:5">
      <c r="B35" s="55"/>
      <c r="C35" s="171" t="s">
        <v>42</v>
      </c>
      <c r="D35" s="170"/>
      <c r="E35" s="169"/>
    </row>
    <row r="36" spans="2:5">
      <c r="B36" s="55"/>
      <c r="C36" s="170" t="s">
        <v>43</v>
      </c>
      <c r="D36" s="170"/>
      <c r="E36" s="169"/>
    </row>
    <row r="37" spans="2:5">
      <c r="B37" s="55"/>
      <c r="C37" s="170" t="s">
        <v>44</v>
      </c>
      <c r="D37" s="170"/>
      <c r="E37" s="169"/>
    </row>
    <row r="38" spans="2:5">
      <c r="B38" s="55"/>
      <c r="C38" s="170" t="s">
        <v>45</v>
      </c>
      <c r="D38" s="170"/>
      <c r="E38" s="169"/>
    </row>
    <row r="39" spans="2:5">
      <c r="B39" s="55"/>
      <c r="C39" s="171" t="s">
        <v>46</v>
      </c>
      <c r="D39" s="170"/>
      <c r="E39" s="169"/>
    </row>
    <row r="40" spans="2:5">
      <c r="B40" s="55"/>
      <c r="C40" s="170" t="s">
        <v>47</v>
      </c>
      <c r="D40" s="170"/>
      <c r="E40" s="169"/>
    </row>
    <row r="41" spans="2:5">
      <c r="B41" s="55"/>
      <c r="C41" s="170" t="s">
        <v>48</v>
      </c>
      <c r="D41" s="170"/>
      <c r="E41" s="169"/>
    </row>
    <row r="42" spans="2:5">
      <c r="B42" s="55"/>
      <c r="C42" s="170" t="s">
        <v>98</v>
      </c>
      <c r="D42" s="170"/>
      <c r="E42" s="169"/>
    </row>
    <row r="43" spans="2:5">
      <c r="B43" s="55"/>
      <c r="C43" s="170" t="s">
        <v>49</v>
      </c>
      <c r="D43" s="171"/>
      <c r="E43" s="169"/>
    </row>
    <row r="44" spans="2:5">
      <c r="B44" s="55"/>
      <c r="C44" s="170" t="s">
        <v>50</v>
      </c>
      <c r="D44" s="170"/>
      <c r="E44" s="169"/>
    </row>
    <row r="45" spans="2:5">
      <c r="B45" s="55"/>
      <c r="C45" s="170" t="s">
        <v>51</v>
      </c>
      <c r="D45" s="171"/>
      <c r="E45" s="169"/>
    </row>
    <row r="46" spans="2:5">
      <c r="B46" s="55"/>
      <c r="C46" s="170" t="s">
        <v>52</v>
      </c>
      <c r="D46" s="170"/>
      <c r="E46" s="169"/>
    </row>
    <row r="47" spans="2:5">
      <c r="B47" s="55"/>
      <c r="C47" s="170" t="s">
        <v>99</v>
      </c>
      <c r="D47" s="170"/>
      <c r="E47" s="169"/>
    </row>
    <row r="48" spans="2:5">
      <c r="B48" s="55"/>
      <c r="C48" s="171" t="s">
        <v>53</v>
      </c>
      <c r="D48" s="170"/>
      <c r="E48" s="169"/>
    </row>
    <row r="49" spans="2:5">
      <c r="B49" s="55"/>
      <c r="C49" s="170" t="s">
        <v>102</v>
      </c>
      <c r="D49" s="170"/>
      <c r="E49" s="169"/>
    </row>
    <row r="50" spans="2:5">
      <c r="B50" s="55"/>
      <c r="C50" s="170" t="s">
        <v>103</v>
      </c>
      <c r="D50" s="171"/>
      <c r="E50" s="169"/>
    </row>
    <row r="51" spans="2:5">
      <c r="B51" s="55"/>
      <c r="C51" s="170" t="s">
        <v>54</v>
      </c>
      <c r="D51" s="170"/>
      <c r="E51" s="169"/>
    </row>
    <row r="52" spans="2:5">
      <c r="B52" s="55"/>
      <c r="C52" s="171" t="s">
        <v>55</v>
      </c>
      <c r="D52" s="170"/>
      <c r="E52" s="169"/>
    </row>
    <row r="53" spans="2:5">
      <c r="B53" s="55"/>
      <c r="C53" s="170" t="s">
        <v>56</v>
      </c>
      <c r="D53" s="170"/>
      <c r="E53" s="169"/>
    </row>
    <row r="54" spans="2:5">
      <c r="B54" s="55"/>
      <c r="C54" s="170" t="s">
        <v>57</v>
      </c>
      <c r="D54" s="171"/>
      <c r="E54" s="169"/>
    </row>
    <row r="55" spans="2:5">
      <c r="B55" s="55"/>
      <c r="C55" s="170" t="s">
        <v>58</v>
      </c>
    </row>
    <row r="56" spans="2:5">
      <c r="B56" s="55"/>
      <c r="C56" s="170" t="s">
        <v>59</v>
      </c>
    </row>
    <row r="57" spans="2:5">
      <c r="B57" s="55"/>
      <c r="C57" s="171" t="s">
        <v>60</v>
      </c>
    </row>
    <row r="58" spans="2:5">
      <c r="B58" s="55"/>
      <c r="C58" s="170" t="s">
        <v>61</v>
      </c>
    </row>
    <row r="59" spans="2:5">
      <c r="B59" s="55"/>
      <c r="C59" s="170" t="s">
        <v>62</v>
      </c>
    </row>
    <row r="60" spans="2:5">
      <c r="B60" s="55"/>
      <c r="C60" s="171" t="s">
        <v>88</v>
      </c>
    </row>
    <row r="61" spans="2:5">
      <c r="B61" s="55"/>
      <c r="C61" s="170" t="s">
        <v>61</v>
      </c>
    </row>
    <row r="62" spans="2:5">
      <c r="B62" s="55"/>
      <c r="C62" s="170" t="s">
        <v>104</v>
      </c>
    </row>
    <row r="63" spans="2:5">
      <c r="B63" s="55"/>
      <c r="C63" s="170" t="s">
        <v>100</v>
      </c>
    </row>
    <row r="64" spans="2:5">
      <c r="B64" s="55"/>
      <c r="C64" s="171" t="s">
        <v>63</v>
      </c>
    </row>
    <row r="65" spans="2:3">
      <c r="B65" s="55"/>
      <c r="C65" s="170" t="s">
        <v>64</v>
      </c>
    </row>
    <row r="66" spans="2:3">
      <c r="B66" s="55"/>
      <c r="C66" s="170" t="s">
        <v>65</v>
      </c>
    </row>
    <row r="67" spans="2:3">
      <c r="B67" s="55"/>
      <c r="C67" s="170" t="s">
        <v>66</v>
      </c>
    </row>
    <row r="68" spans="2:3">
      <c r="B68" s="55"/>
      <c r="C68" s="171" t="s">
        <v>67</v>
      </c>
    </row>
    <row r="69" spans="2:3">
      <c r="B69" s="55"/>
      <c r="C69" s="170" t="s">
        <v>68</v>
      </c>
    </row>
    <row r="70" spans="2:3">
      <c r="B70" s="55"/>
      <c r="C70" s="171" t="s">
        <v>69</v>
      </c>
    </row>
    <row r="71" spans="2:3">
      <c r="B71" s="55"/>
      <c r="C71" s="170" t="s">
        <v>70</v>
      </c>
    </row>
    <row r="72" spans="2:3">
      <c r="B72" s="55"/>
      <c r="C72" s="170" t="s">
        <v>71</v>
      </c>
    </row>
    <row r="73" spans="2:3">
      <c r="B73" s="55"/>
      <c r="C73" s="170" t="s">
        <v>72</v>
      </c>
    </row>
    <row r="74" spans="2:3" ht="13.5" customHeight="1">
      <c r="B74" s="55"/>
      <c r="C74" s="170" t="s">
        <v>73</v>
      </c>
    </row>
    <row r="75" spans="2:3" ht="13.5" customHeight="1">
      <c r="B75" s="55"/>
      <c r="C75" s="170" t="s">
        <v>74</v>
      </c>
    </row>
    <row r="76" spans="2:3" ht="13.5" customHeight="1">
      <c r="B76" s="55"/>
      <c r="C76" s="275"/>
    </row>
    <row r="77" spans="2:3" ht="13.5" customHeight="1">
      <c r="B77" s="55"/>
      <c r="C77" s="324"/>
    </row>
    <row r="78" spans="2:3" ht="13.5" customHeight="1">
      <c r="B78" s="55"/>
      <c r="C78" s="324"/>
    </row>
    <row r="79" spans="2:3">
      <c r="B79" s="55"/>
      <c r="C79" s="275"/>
    </row>
    <row r="80" spans="2:3" ht="30.75" customHeight="1">
      <c r="B80" s="16"/>
      <c r="C80" s="321" t="s">
        <v>11</v>
      </c>
    </row>
    <row r="81" spans="2:3">
      <c r="B81" s="55"/>
      <c r="C81" s="171" t="s">
        <v>13</v>
      </c>
    </row>
    <row r="82" spans="2:3">
      <c r="B82" s="55"/>
      <c r="C82" s="170" t="s">
        <v>13</v>
      </c>
    </row>
    <row r="83" spans="2:3">
      <c r="B83" s="55"/>
      <c r="C83" s="171" t="s">
        <v>17</v>
      </c>
    </row>
    <row r="84" spans="2:3">
      <c r="B84" s="55"/>
      <c r="C84" s="170" t="s">
        <v>75</v>
      </c>
    </row>
    <row r="85" spans="2:3">
      <c r="B85" s="55"/>
      <c r="C85" s="170" t="s">
        <v>76</v>
      </c>
    </row>
    <row r="86" spans="2:3">
      <c r="B86" s="55"/>
      <c r="C86" s="170" t="s">
        <v>77</v>
      </c>
    </row>
    <row r="87" spans="2:3">
      <c r="B87" s="55"/>
      <c r="C87" s="170" t="s">
        <v>78</v>
      </c>
    </row>
    <row r="88" spans="2:3">
      <c r="B88" s="55"/>
      <c r="C88" s="170" t="s">
        <v>79</v>
      </c>
    </row>
    <row r="89" spans="2:3">
      <c r="B89" s="55"/>
      <c r="C89" s="171" t="s">
        <v>42</v>
      </c>
    </row>
    <row r="90" spans="2:3">
      <c r="B90" s="55"/>
      <c r="C90" s="170" t="s">
        <v>80</v>
      </c>
    </row>
    <row r="91" spans="2:3">
      <c r="B91" s="55"/>
      <c r="C91" s="170" t="s">
        <v>81</v>
      </c>
    </row>
    <row r="92" spans="2:3">
      <c r="B92" s="55"/>
      <c r="C92" s="171" t="s">
        <v>46</v>
      </c>
    </row>
    <row r="93" spans="2:3">
      <c r="B93" s="55"/>
      <c r="C93" s="170" t="s">
        <v>82</v>
      </c>
    </row>
    <row r="94" spans="2:3">
      <c r="B94" s="55"/>
      <c r="C94" s="170" t="s">
        <v>83</v>
      </c>
    </row>
    <row r="95" spans="2:3">
      <c r="B95" s="55"/>
      <c r="C95" s="170" t="s">
        <v>84</v>
      </c>
    </row>
    <row r="96" spans="2:3">
      <c r="B96" s="55"/>
      <c r="C96" s="170" t="s">
        <v>85</v>
      </c>
    </row>
    <row r="97" spans="2:3">
      <c r="B97" s="55"/>
      <c r="C97" s="171" t="s">
        <v>53</v>
      </c>
    </row>
    <row r="98" spans="2:3">
      <c r="B98" s="55"/>
      <c r="C98" s="170" t="s">
        <v>86</v>
      </c>
    </row>
    <row r="99" spans="2:3">
      <c r="B99" s="55"/>
      <c r="C99" s="171" t="s">
        <v>60</v>
      </c>
    </row>
    <row r="100" spans="2:3">
      <c r="B100" s="55"/>
      <c r="C100" s="170" t="s">
        <v>87</v>
      </c>
    </row>
    <row r="101" spans="2:3">
      <c r="B101" s="55"/>
      <c r="C101" s="171" t="s">
        <v>88</v>
      </c>
    </row>
    <row r="102" spans="2:3">
      <c r="B102" s="55"/>
      <c r="C102" s="170" t="s">
        <v>89</v>
      </c>
    </row>
    <row r="103" spans="2:3">
      <c r="B103" s="55"/>
      <c r="C103" s="171" t="s">
        <v>67</v>
      </c>
    </row>
    <row r="104" spans="2:3">
      <c r="B104" s="55"/>
      <c r="C104" s="170" t="s">
        <v>90</v>
      </c>
    </row>
    <row r="105" spans="2:3">
      <c r="B105" s="55"/>
      <c r="C105" s="170" t="s">
        <v>91</v>
      </c>
    </row>
    <row r="106" spans="2:3">
      <c r="B106" s="55"/>
      <c r="C106" s="171" t="s">
        <v>69</v>
      </c>
    </row>
    <row r="107" spans="2:3">
      <c r="B107" s="55"/>
      <c r="C107" s="170" t="s">
        <v>92</v>
      </c>
    </row>
    <row r="108" spans="2:3">
      <c r="B108" s="55"/>
      <c r="C108" s="170" t="s">
        <v>93</v>
      </c>
    </row>
    <row r="109" spans="2:3">
      <c r="B109" s="55"/>
      <c r="C109" s="170" t="s">
        <v>94</v>
      </c>
    </row>
    <row r="110" spans="2:3">
      <c r="C110" s="170" t="s">
        <v>95</v>
      </c>
    </row>
    <row r="111" spans="2:3">
      <c r="C111" s="170" t="s">
        <v>96</v>
      </c>
    </row>
    <row r="112" spans="2:3">
      <c r="C112" s="290"/>
    </row>
    <row r="113" spans="3:3">
      <c r="C113" s="322"/>
    </row>
    <row r="114" spans="3:3">
      <c r="C114" s="323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E10" sqref="E10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(janeiro-dezembro)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(janeiro-dezembro)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(dezembro)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(janeiro-dezembro)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(janeiro-dezembro)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(janeiro-dezembro)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(janeiro-dezembro)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(janeiro-dezembro)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(janeiro-dezembro)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(janeiro-dezembro)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(janeiro-dezembro)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(dezembro)</v>
      </c>
      <c r="B14" s="217"/>
      <c r="C14" s="217"/>
      <c r="D14" s="217"/>
    </row>
    <row r="15" spans="1:25" s="179" customFormat="1" ht="20.100000000000001" customHeight="1">
      <c r="A15" s="284" t="str">
        <f>+Q_11_12_13_14_Compromissos!C2</f>
        <v>QUADRO XIII - Contas a pagar, da Administração Regional, no final de dezembro de 2023 (valores acumulados)</v>
      </c>
      <c r="B15" s="285"/>
      <c r="C15" s="285"/>
      <c r="D15" s="285"/>
    </row>
    <row r="16" spans="1:25" s="179" customFormat="1" ht="20.100000000000001" customHeight="1">
      <c r="A16" s="284" t="str">
        <f>+Q_11_12_13_14_Compromissos!C23</f>
        <v>QUADRO XIV - Contas a pagar, do Governo Regional, no final de dezembro de 2023 (valores acumulados)</v>
      </c>
      <c r="B16" s="285"/>
      <c r="C16" s="285"/>
      <c r="D16" s="285"/>
    </row>
    <row r="17" spans="1:4" s="179" customFormat="1" ht="20.100000000000001" customHeight="1">
      <c r="A17" s="284" t="str">
        <f>+Q_11_12_13_14_Compromissos!C32</f>
        <v>QUADRO XV - Contas a pagar, dos Serviços e Fundos Autónomos, no final de dezembro de 2023 (valores acumulados)</v>
      </c>
      <c r="B17" s="285"/>
      <c r="C17" s="285"/>
      <c r="D17" s="285"/>
    </row>
    <row r="18" spans="1:4" s="169" customFormat="1" ht="20.100000000000001" customHeight="1">
      <c r="A18" s="269" t="str">
        <f>+Q_11_12_13_14_Compromissos!C41</f>
        <v>QUADRO XVI - Contas a pagar, das Entidades Públicas Reclassseicadas, no final de dezembro de 2023 (valores acumulados)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'!C80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5"/>
      <c r="B22" s="325"/>
      <c r="C22" s="325"/>
      <c r="D22" s="325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80" display="'Pagamentos_Atraso '!B80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N30" sqref="N30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(janeiro-dezembro)","TABLE I - Consolidated budget execution (january-december)")</f>
        <v>QUADRO I - Execução orçamental consolidada (janeiro-dezembro)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2023","Consolidated balance")</f>
        <v>Saldo
consolidado
2023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1442290.8300499998</v>
      </c>
      <c r="E5" s="57">
        <v>503822.1967600002</v>
      </c>
      <c r="F5" s="57">
        <v>352925.14533000009</v>
      </c>
      <c r="G5" s="57">
        <v>1537191.3856200001</v>
      </c>
      <c r="H5" s="57">
        <v>16.150896190383502</v>
      </c>
    </row>
    <row r="6" spans="1:10" ht="11.25" customHeight="1">
      <c r="C6" s="68" t="str">
        <f>+IF(Índice!$D$2=1,"Impostos diretos","Direct taxes")</f>
        <v>Impostos diretos</v>
      </c>
      <c r="D6" s="56">
        <v>488455.90042999998</v>
      </c>
      <c r="E6" s="56">
        <v>0</v>
      </c>
      <c r="F6" s="56">
        <v>0</v>
      </c>
      <c r="G6" s="56">
        <v>488455.90042999998</v>
      </c>
      <c r="H6" s="56">
        <v>33.841653429398846</v>
      </c>
    </row>
    <row r="7" spans="1:10">
      <c r="C7" s="68" t="str">
        <f>+IF(Índice!$D$2=1,"Impostos indiretos","Indirect taxes")</f>
        <v>Impostos indiretos</v>
      </c>
      <c r="D7" s="56">
        <v>712922.10094999988</v>
      </c>
      <c r="E7" s="56">
        <v>0</v>
      </c>
      <c r="F7" s="56">
        <v>0</v>
      </c>
      <c r="G7" s="56">
        <v>712922.10094999988</v>
      </c>
      <c r="H7" s="56">
        <v>10.080525194432767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240912.82866999999</v>
      </c>
      <c r="E9" s="56">
        <v>503822.1967600002</v>
      </c>
      <c r="F9" s="56">
        <v>352925.14533000009</v>
      </c>
      <c r="G9" s="56">
        <v>335813.36532000022</v>
      </c>
      <c r="H9" s="56">
        <v>8.0323076881319686</v>
      </c>
    </row>
    <row r="10" spans="1:10">
      <c r="C10" s="69" t="str">
        <f>+IF(Índice!$D$2=1,"Transferências correntes","Current transfers")</f>
        <v>Transferências correntes</v>
      </c>
      <c r="D10" s="56">
        <v>195547.34126999998</v>
      </c>
      <c r="E10" s="56">
        <v>494429.64140000014</v>
      </c>
      <c r="F10" s="56">
        <v>311206.66956000007</v>
      </c>
      <c r="G10" s="56">
        <v>239336.84678999998</v>
      </c>
      <c r="H10" s="56">
        <v>6.2082215391077167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194370.30309999999</v>
      </c>
      <c r="E11" s="56">
        <v>1190.7302100000002</v>
      </c>
      <c r="F11" s="56">
        <v>1296.96261</v>
      </c>
      <c r="G11" s="56">
        <v>196857.99591999999</v>
      </c>
      <c r="H11" s="56">
        <v>4.5308218527675859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21.790240000000001</v>
      </c>
      <c r="E12" s="56">
        <v>454954.51643000008</v>
      </c>
      <c r="F12" s="56">
        <v>306870.49877000006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1.8920000000000003E-2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94438.93326000002</v>
      </c>
      <c r="E14" s="57">
        <v>26624.568629999994</v>
      </c>
      <c r="F14" s="57">
        <v>35924.987530000006</v>
      </c>
      <c r="G14" s="57">
        <v>126059.14267000003</v>
      </c>
      <c r="H14" s="57">
        <v>12.765978055485894</v>
      </c>
    </row>
    <row r="15" spans="1:10">
      <c r="C15" s="68" t="str">
        <f>+IF(Índice!$D$2=1,"Venda de bens de investimento","Sale of investment goods")</f>
        <v>Venda de bens de investimento</v>
      </c>
      <c r="D15" s="56">
        <v>7634.7410199999995</v>
      </c>
      <c r="E15" s="56">
        <v>0</v>
      </c>
      <c r="F15" s="56">
        <v>683.87698</v>
      </c>
      <c r="G15" s="56">
        <v>8318.6179999999986</v>
      </c>
      <c r="H15" s="56">
        <v>74.417562267753738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81389.624940000009</v>
      </c>
      <c r="E16" s="56">
        <v>26493.092729999993</v>
      </c>
      <c r="F16" s="56">
        <v>35197.62934</v>
      </c>
      <c r="G16" s="56">
        <v>112151.00026</v>
      </c>
      <c r="H16" s="56">
        <v>17.403208915655188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62649.236069999999</v>
      </c>
      <c r="E17" s="56">
        <v>595.84802999999999</v>
      </c>
      <c r="F17" s="56">
        <v>0</v>
      </c>
      <c r="G17" s="56">
        <v>63245.0841</v>
      </c>
      <c r="H17" s="56">
        <v>24.2068459533475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12537.324059999997</v>
      </c>
      <c r="F18" s="56">
        <v>18392.022690000002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1536729.7633099998</v>
      </c>
      <c r="E20" s="57">
        <v>530446.76539000019</v>
      </c>
      <c r="F20" s="57">
        <v>388850.13286000007</v>
      </c>
      <c r="G20" s="57">
        <v>1663250.52829</v>
      </c>
      <c r="H20" s="57">
        <v>15.887249446030749</v>
      </c>
    </row>
    <row r="21" spans="3:8" ht="20.25" customHeight="1">
      <c r="C21" s="220" t="str">
        <f>+IF(Índice!$D$2=1,"Despesa corrente","Current expenditure")</f>
        <v>Despesa corrente</v>
      </c>
      <c r="D21" s="220">
        <v>1345963.2351099995</v>
      </c>
      <c r="E21" s="220">
        <v>498765.29078999977</v>
      </c>
      <c r="F21" s="220">
        <v>360718.43744999974</v>
      </c>
      <c r="G21" s="220">
        <v>1443600.1389899985</v>
      </c>
      <c r="H21" s="220">
        <v>8.7665209754753235</v>
      </c>
    </row>
    <row r="22" spans="3:8" ht="10.5" customHeight="1">
      <c r="C22" s="68" t="str">
        <f>+IF(Índice!$D$2=1,"Consumo público","Public consumption")</f>
        <v>Consumo público</v>
      </c>
      <c r="D22" s="56">
        <v>619180.07842000062</v>
      </c>
      <c r="E22" s="56">
        <v>165188.98545999982</v>
      </c>
      <c r="F22" s="56">
        <v>339376.92021999974</v>
      </c>
      <c r="G22" s="56">
        <v>1123745.9841</v>
      </c>
      <c r="H22" s="56">
        <v>8.7974405113640408</v>
      </c>
    </row>
    <row r="23" spans="3:8">
      <c r="C23" s="69" t="str">
        <f>+IF(Índice!$D$2=1,"Despesas com o pessoal","Compensation of employees")</f>
        <v>Despesas com o pessoal</v>
      </c>
      <c r="D23" s="56">
        <v>451675.80176000053</v>
      </c>
      <c r="E23" s="56">
        <v>52820.870659999979</v>
      </c>
      <c r="F23" s="56">
        <v>255372.32650999981</v>
      </c>
      <c r="G23" s="56">
        <v>759868.99893000023</v>
      </c>
      <c r="H23" s="56">
        <v>10.676657992760052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167504.27666000012</v>
      </c>
      <c r="E24" s="56">
        <v>112368.11479999985</v>
      </c>
      <c r="F24" s="56">
        <v>84004.593709999914</v>
      </c>
      <c r="G24" s="56">
        <v>363876.98516999988</v>
      </c>
      <c r="H24" s="56">
        <v>5.0718797748692035</v>
      </c>
    </row>
    <row r="25" spans="3:8">
      <c r="C25" s="68" t="str">
        <f>+IF(Índice!$D$2=1,"Subsídios","Subsidies")</f>
        <v>Subsídios</v>
      </c>
      <c r="D25" s="56">
        <v>23299.428070000005</v>
      </c>
      <c r="E25" s="56">
        <v>5675.834789999999</v>
      </c>
      <c r="F25" s="56">
        <v>0.80500000000000005</v>
      </c>
      <c r="G25" s="56">
        <v>28976.048940000004</v>
      </c>
      <c r="H25" s="56">
        <v>-19.008202656268626</v>
      </c>
    </row>
    <row r="26" spans="3:8">
      <c r="C26" s="68" t="str">
        <f>+IF(Índice!$D$2=1,"Juros e outros encargos","Interests and other charges")</f>
        <v>Juros e outros encargos</v>
      </c>
      <c r="D26" s="56">
        <v>125688.90943000004</v>
      </c>
      <c r="E26" s="56">
        <v>144.80521000000002</v>
      </c>
      <c r="F26" s="56">
        <v>8385.648159999997</v>
      </c>
      <c r="G26" s="56">
        <v>134219.36280000003</v>
      </c>
      <c r="H26" s="56">
        <v>26.051649208615579</v>
      </c>
    </row>
    <row r="27" spans="3:8">
      <c r="C27" s="68" t="str">
        <f>+IF(Índice!$D$2=1,"Transferências correntes","Current transfers")</f>
        <v>Transferências correntes</v>
      </c>
      <c r="D27" s="56">
        <v>577794.8191899989</v>
      </c>
      <c r="E27" s="56">
        <v>327755.66532999993</v>
      </c>
      <c r="F27" s="56">
        <v>12955.064069999997</v>
      </c>
      <c r="G27" s="56">
        <v>141033.34567999898</v>
      </c>
      <c r="H27" s="56">
        <v>-1.087702769613863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230</v>
      </c>
      <c r="E28" s="56">
        <v>2289.0872800000002</v>
      </c>
      <c r="F28" s="56">
        <v>0</v>
      </c>
      <c r="G28" s="56">
        <v>2519.0872800000002</v>
      </c>
      <c r="H28" s="56">
        <v>19.997888415205022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484020.91836999985</v>
      </c>
      <c r="E29" s="56">
        <v>293388.66275999998</v>
      </c>
      <c r="F29" s="56">
        <v>62.621780000000001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15625.397469999734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160921.95369999995</v>
      </c>
      <c r="E31" s="57">
        <v>26583.758610000004</v>
      </c>
      <c r="F31" s="57">
        <v>40504.493300000009</v>
      </c>
      <c r="G31" s="57">
        <v>197080.85885999998</v>
      </c>
      <c r="H31" s="57">
        <v>-16.913081557810905</v>
      </c>
    </row>
    <row r="32" spans="3:8">
      <c r="C32" s="68" t="str">
        <f>+IF(Índice!$D$2=1,"Investimento","Investment")</f>
        <v>Investimento</v>
      </c>
      <c r="D32" s="56">
        <v>113871.42853999996</v>
      </c>
      <c r="E32" s="56">
        <v>4835.0117300000011</v>
      </c>
      <c r="F32" s="56">
        <v>39936.991190000008</v>
      </c>
      <c r="G32" s="56">
        <v>158643.43145999996</v>
      </c>
      <c r="H32" s="56">
        <v>15.002577289092711</v>
      </c>
    </row>
    <row r="33" spans="3:8">
      <c r="C33" s="68" t="str">
        <f>+IF(Índice!$D$2=1,"Transferências capital","Capital transfers")</f>
        <v>Transferências capital</v>
      </c>
      <c r="D33" s="56">
        <v>47050.525159999976</v>
      </c>
      <c r="E33" s="56">
        <v>21740.491270000002</v>
      </c>
      <c r="F33" s="56">
        <v>567.50211000000002</v>
      </c>
      <c r="G33" s="56">
        <v>37262.910029999985</v>
      </c>
      <c r="H33" s="56">
        <v>-62.349827547577632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7592.5037299999995</v>
      </c>
      <c r="E34" s="56">
        <v>0</v>
      </c>
      <c r="F34" s="56">
        <v>0</v>
      </c>
      <c r="G34" s="56">
        <v>7592.5037299999995</v>
      </c>
      <c r="H34" s="56">
        <v>-14.480855899367961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32087.352899999994</v>
      </c>
      <c r="E35" s="56">
        <v>8.2556100000000008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8.2556100000000008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1506885.1888099995</v>
      </c>
      <c r="E38" s="86">
        <v>525349.04939999979</v>
      </c>
      <c r="F38" s="86">
        <v>401222.93074999971</v>
      </c>
      <c r="G38" s="86">
        <v>1640680.9978499985</v>
      </c>
      <c r="H38" s="86">
        <v>4.8730249261134118</v>
      </c>
    </row>
    <row r="39" spans="3:8" ht="17.25" customHeight="1">
      <c r="C39" s="138" t="str">
        <f>+IF(Índice!$D$2=1,"Saldo global","Overall balance")</f>
        <v>Saldo global</v>
      </c>
      <c r="D39" s="139">
        <v>29844.574500000337</v>
      </c>
      <c r="E39" s="139">
        <v>5097.7159900004044</v>
      </c>
      <c r="F39" s="139">
        <v>-12372.797889999638</v>
      </c>
      <c r="G39" s="139">
        <v>22569.530440001516</v>
      </c>
      <c r="H39" s="139">
        <v>117.46685117640251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96327.594940000214</v>
      </c>
      <c r="E41" s="19">
        <v>5056.9059700004291</v>
      </c>
      <c r="F41" s="19">
        <v>-7793.292119999649</v>
      </c>
      <c r="G41" s="19">
        <v>93591.24663000158</v>
      </c>
      <c r="H41" s="19">
        <v>2560.7526455232219</v>
      </c>
    </row>
    <row r="42" spans="3:8">
      <c r="C42" s="68" t="str">
        <f>+IF(Índice!$D$2=1,"Despesa corrente primária","Primary current expenditure")</f>
        <v>Despesa corrente primária</v>
      </c>
      <c r="D42" s="19">
        <v>1220274.3256799995</v>
      </c>
      <c r="E42" s="19">
        <v>498620.48557999975</v>
      </c>
      <c r="F42" s="19">
        <v>352332.78928999975</v>
      </c>
      <c r="G42" s="19">
        <v>1309380.7761899985</v>
      </c>
      <c r="H42" s="19">
        <v>7.2588505208245557</v>
      </c>
    </row>
    <row r="43" spans="3:8">
      <c r="C43" s="68" t="str">
        <f>+IF(Índice!$D$2=1,"Saldo corrente primário","Primary current balance")</f>
        <v>Saldo corrente primário</v>
      </c>
      <c r="D43" s="19">
        <v>222016.50437000021</v>
      </c>
      <c r="E43" s="19">
        <v>5201.7111800004495</v>
      </c>
      <c r="F43" s="19">
        <v>592.35604000033345</v>
      </c>
      <c r="G43" s="19">
        <v>227810.60943000158</v>
      </c>
      <c r="H43" s="19">
        <v>121.87263714515591</v>
      </c>
    </row>
    <row r="44" spans="3:8">
      <c r="C44" s="68" t="str">
        <f>+IF(Índice!$D$2=1,"Saldo de capital","Capital balance")</f>
        <v>Saldo de capital</v>
      </c>
      <c r="D44" s="19">
        <v>-66483.020439999935</v>
      </c>
      <c r="E44" s="19">
        <v>40.81001999998989</v>
      </c>
      <c r="F44" s="19">
        <v>-4579.5057700000034</v>
      </c>
      <c r="G44" s="19">
        <v>-71021.716189999948</v>
      </c>
      <c r="H44" s="19">
        <v>43.368444428630205</v>
      </c>
    </row>
    <row r="45" spans="3:8">
      <c r="C45" s="68" t="str">
        <f t="array" ref="C45">+IF(Índice!$D$2=1,"Despesa primária","Primary expenditure")</f>
        <v>Despesa primária</v>
      </c>
      <c r="D45" s="19">
        <v>1381196.2793799995</v>
      </c>
      <c r="E45" s="19">
        <v>525204.24418999976</v>
      </c>
      <c r="F45" s="19">
        <v>392837.28258999973</v>
      </c>
      <c r="G45" s="19">
        <v>1506461.6350499985</v>
      </c>
      <c r="H45" s="19">
        <v>3.3262855992109097</v>
      </c>
    </row>
    <row r="46" spans="3:8">
      <c r="C46" s="221" t="str">
        <f>+IF(Índice!$D$2=1,"Saldo primário","Primary balance")</f>
        <v>Saldo primário</v>
      </c>
      <c r="D46" s="132">
        <v>155533.48393000034</v>
      </c>
      <c r="E46" s="132">
        <v>5242.5212000004249</v>
      </c>
      <c r="F46" s="132">
        <v>-3987.1497299996554</v>
      </c>
      <c r="G46" s="132">
        <v>156788.89324000152</v>
      </c>
      <c r="H46" s="132">
        <v>789.67160878373943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6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6"/>
      <c r="E48" s="326"/>
      <c r="F48" s="326"/>
      <c r="G48" s="326"/>
    </row>
    <row r="49" spans="3:7" ht="9" customHeight="1">
      <c r="C49" s="326"/>
      <c r="D49" s="326"/>
      <c r="E49" s="326"/>
      <c r="F49" s="326"/>
      <c r="G49" s="326"/>
    </row>
    <row r="50" spans="3:7" ht="9" customHeight="1">
      <c r="C50" s="326"/>
      <c r="D50" s="326"/>
      <c r="E50" s="326"/>
      <c r="F50" s="326"/>
      <c r="G50" s="326"/>
    </row>
    <row r="51" spans="3:7" ht="9" customHeight="1">
      <c r="C51" s="326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6"/>
      <c r="E51" s="326"/>
      <c r="F51" s="326"/>
      <c r="G51" s="326"/>
    </row>
    <row r="52" spans="3:7" ht="9" customHeight="1">
      <c r="C52" s="326"/>
      <c r="D52" s="326"/>
      <c r="E52" s="326"/>
      <c r="F52" s="326"/>
      <c r="G52" s="326"/>
    </row>
    <row r="53" spans="3:7" ht="9" customHeight="1">
      <c r="C53" s="326"/>
      <c r="D53" s="326"/>
      <c r="E53" s="326"/>
      <c r="F53" s="326"/>
      <c r="G53" s="326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N30" sqref="N30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(janeiro-dezembro)","TABLE II - Regional Gov. budget execution (january-december)")</f>
        <v>QUADRO II - Execução orçamental do Gov. Regional (janeiro-dezembro)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2022</v>
      </c>
      <c r="E3" s="156">
        <v>2023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1237360.9971</v>
      </c>
      <c r="E5" s="225">
        <v>1442290.8300499998</v>
      </c>
      <c r="F5" s="225">
        <v>16.561846819989732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1012587.4875100001</v>
      </c>
      <c r="E6" s="231">
        <v>1201378.0013799998</v>
      </c>
      <c r="F6" s="231">
        <v>18.64436566703429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364950.58743999997</v>
      </c>
      <c r="E7" s="231">
        <v>488455.90042999998</v>
      </c>
      <c r="F7" s="231">
        <v>33.841653429398846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647636.90007000009</v>
      </c>
      <c r="E8" s="231">
        <v>712922.10094999988</v>
      </c>
      <c r="F8" s="231">
        <v>10.080525194432788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224773.50958999997</v>
      </c>
      <c r="E9" s="231">
        <v>240912.82866999999</v>
      </c>
      <c r="F9" s="231">
        <v>7.1802585230969163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90064.187170000005</v>
      </c>
      <c r="E10" s="232">
        <v>94438.93326000002</v>
      </c>
      <c r="F10" s="232">
        <v>4.8573647611369619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1327425.1842700001</v>
      </c>
      <c r="E12" s="232">
        <v>1536729.7633099998</v>
      </c>
      <c r="F12" s="232">
        <v>15.76771192231854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1227087.9184199998</v>
      </c>
      <c r="E14" s="232">
        <v>1345963.2351100002</v>
      </c>
      <c r="F14" s="232">
        <v>9.6875957219971998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417357.24135000008</v>
      </c>
      <c r="E15" s="231">
        <v>451675.80176000029</v>
      </c>
      <c r="F15" s="231">
        <v>8.2228261570332464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152564.98370999994</v>
      </c>
      <c r="E16" s="231">
        <v>166508.89850000013</v>
      </c>
      <c r="F16" s="231">
        <v>9.1396560671518134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100944.9353</v>
      </c>
      <c r="E17" s="231">
        <v>125688.90943000004</v>
      </c>
      <c r="F17" s="231">
        <v>24.512348298072606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526838.03690999991</v>
      </c>
      <c r="E18" s="231">
        <v>577794.81918999983</v>
      </c>
      <c r="F18" s="231">
        <v>9.6721912067835092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434341.98012999992</v>
      </c>
      <c r="E19" s="231">
        <v>484250.91836999985</v>
      </c>
      <c r="F19" s="231">
        <v>11.490700996726599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92496.056780000014</v>
      </c>
      <c r="E20" s="231">
        <v>93543.900819999952</v>
      </c>
      <c r="F20" s="231">
        <v>1.1328526604028166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28331.19968999999</v>
      </c>
      <c r="E21" s="231">
        <v>23299.428070000005</v>
      </c>
      <c r="F21" s="231">
        <v>-17.760531410803758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1051.5214599999995</v>
      </c>
      <c r="E22" s="231">
        <v>995.37815999999987</v>
      </c>
      <c r="F22" s="231">
        <v>-5.3392443364874032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220540.54771000019</v>
      </c>
      <c r="E23" s="232">
        <v>160921.95369999995</v>
      </c>
      <c r="F23" s="232">
        <v>-27.032940032594688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113916.69684000021</v>
      </c>
      <c r="E24" s="231">
        <v>113871.42853999996</v>
      </c>
      <c r="F24" s="231">
        <v>-3.9738072869011098E-2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106623.85086999999</v>
      </c>
      <c r="E25" s="231">
        <v>47050.52515999999</v>
      </c>
      <c r="F25" s="231">
        <v>-55.87241993598051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95174.471080000003</v>
      </c>
      <c r="E26" s="231">
        <v>39679.856629999995</v>
      </c>
      <c r="F26" s="231">
        <v>-58.308298244550649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11449.379789999999</v>
      </c>
      <c r="E27" s="231">
        <v>7370.668529999999</v>
      </c>
      <c r="F27" s="231">
        <v>-35.62386203279226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1447628.4661300001</v>
      </c>
      <c r="E29" s="235">
        <v>1506885.1888100002</v>
      </c>
      <c r="F29" s="235">
        <v>4.0933653949492443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-120203.28185999992</v>
      </c>
      <c r="E31" s="139">
        <v>29844.57449999958</v>
      </c>
      <c r="F31" s="139">
        <v>124.82841902333364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10273.078680000268</v>
      </c>
      <c r="E33" s="19">
        <v>96327.594939999515</v>
      </c>
      <c r="F33" s="19">
        <v>837.67017600605982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-130476.36054000018</v>
      </c>
      <c r="E34" s="19">
        <v>-66483.020439999935</v>
      </c>
      <c r="F34" s="19">
        <v>49.045926660700957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-19258.346559999918</v>
      </c>
      <c r="E35" s="19">
        <v>155533.48392999964</v>
      </c>
      <c r="F35" s="19">
        <v>907.61597806660461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49575.064700000003</v>
      </c>
      <c r="E36" s="106">
        <v>108036.33630000001</v>
      </c>
      <c r="F36" s="106">
        <v>117.92475098877682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7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8" s="327"/>
      <c r="E38" s="327"/>
      <c r="F38" s="327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N30" sqref="N30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(dezembro)","TABLE III - Regional Gov. budget execution (december)")</f>
        <v>QUADRO III - Execução orçamental do Gov. Regional (dezembro)</v>
      </c>
      <c r="D2" s="224"/>
      <c r="E2" s="225"/>
      <c r="F2" s="49" t="str">
        <f>+IF(Índice!$D$2=1,"€ Milhares","€ Thousands")</f>
        <v>€ Milhares</v>
      </c>
      <c r="G2"/>
      <c r="H2" s="291" t="str">
        <f>+IF(Índice!$D$2=1,"índice","Index")</f>
        <v>índice</v>
      </c>
      <c r="K2" s="18"/>
      <c r="Z2" s="7"/>
      <c r="AC2" s="18"/>
    </row>
    <row r="3" spans="2:29" ht="35.1" customHeight="1">
      <c r="C3" s="292"/>
      <c r="D3" s="293">
        <v>2022</v>
      </c>
      <c r="E3" s="293">
        <v>2023</v>
      </c>
      <c r="F3" s="293" t="s">
        <v>105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161955.52060000019</v>
      </c>
      <c r="E5" s="225">
        <v>188011.32039000001</v>
      </c>
      <c r="F5" s="225">
        <v>16.088244286746335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157691.7337900002</v>
      </c>
      <c r="E6" s="231">
        <v>182583.26318000001</v>
      </c>
      <c r="F6" s="231">
        <v>15.784929743462728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88538.14115999997</v>
      </c>
      <c r="E7" s="231">
        <v>112267.53056999999</v>
      </c>
      <c r="F7" s="231">
        <v>26.801318730102896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69153.592630000232</v>
      </c>
      <c r="E8" s="231">
        <v>70315.732610000021</v>
      </c>
      <c r="F8" s="231">
        <v>1.6805200363453343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4263.7868099999996</v>
      </c>
      <c r="E9" s="231">
        <v>5428.0572100000009</v>
      </c>
      <c r="F9" s="231">
        <v>27.306018144936317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-7596.2105999999949</v>
      </c>
      <c r="E10" s="232">
        <v>18662.903590000009</v>
      </c>
      <c r="F10" s="232">
        <v>-345.68702176319363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154359.3100000002</v>
      </c>
      <c r="E12" s="232">
        <v>206674.22398000001</v>
      </c>
      <c r="F12" s="232">
        <v>33.89164798676525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144186.7082500004</v>
      </c>
      <c r="E14" s="232">
        <v>181666.94650999966</v>
      </c>
      <c r="F14" s="232">
        <v>25.99423949329196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41106.968770000458</v>
      </c>
      <c r="E15" s="231">
        <v>44287.848800000429</v>
      </c>
      <c r="F15" s="231">
        <v>7.7380554323950745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9751.4559600000084</v>
      </c>
      <c r="E16" s="231">
        <v>14510.911169999868</v>
      </c>
      <c r="F16" s="231">
        <v>48.807636823905163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13490.453500000014</v>
      </c>
      <c r="E17" s="231">
        <v>25185.787610000014</v>
      </c>
      <c r="F17" s="231">
        <v>86.693409602575542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74836.70376999992</v>
      </c>
      <c r="E18" s="231">
        <v>93694.640669999368</v>
      </c>
      <c r="F18" s="231">
        <v>25.198780745283301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4864.4275199999847</v>
      </c>
      <c r="E19" s="231">
        <v>3826.3747300000005</v>
      </c>
      <c r="F19" s="231">
        <v>-21.339670202342486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136.69872999999964</v>
      </c>
      <c r="E20" s="231">
        <v>161.38352999999967</v>
      </c>
      <c r="F20" s="231">
        <v>18.057812241562221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40979.285210000096</v>
      </c>
      <c r="E21" s="232">
        <v>32456.093199999959</v>
      </c>
      <c r="F21" s="232">
        <v>-20.798781546146238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25805.922450000093</v>
      </c>
      <c r="E22" s="231">
        <v>26361.540659999981</v>
      </c>
      <c r="F22" s="231">
        <v>2.1530647124760494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15173.362760000005</v>
      </c>
      <c r="E23" s="231">
        <v>6094.5525399999769</v>
      </c>
      <c r="F23" s="231">
        <v>-59.833870471571224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300">
        <v>185165.99346000049</v>
      </c>
      <c r="E25" s="300">
        <v>214123.03970999963</v>
      </c>
      <c r="F25" s="300">
        <v>15.638425668185363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Saldo global</v>
      </c>
      <c r="D27" s="287">
        <v>-30806.683460000291</v>
      </c>
      <c r="E27" s="287">
        <v>-7448.8157299996237</v>
      </c>
      <c r="F27" s="287">
        <v>75.820780124964628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17768.812349999789</v>
      </c>
      <c r="E29" s="19">
        <v>6344.3738800003484</v>
      </c>
      <c r="F29" s="19">
        <v>-64.294890648668343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-48575.495810000095</v>
      </c>
      <c r="E30" s="19">
        <v>-13793.18960999995</v>
      </c>
      <c r="F30" s="19">
        <v>71.60463443553698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-17316.229960000277</v>
      </c>
      <c r="E31" s="19">
        <v>17736.97188000039</v>
      </c>
      <c r="F31" s="19">
        <v>202.42975475015061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2"/>
    </row>
    <row r="33" spans="3:8" ht="27" customHeight="1">
      <c r="C33" s="327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7"/>
      <c r="E33" s="327"/>
      <c r="F33" s="327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N30" sqref="N30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(janeiro-dezembro)","TABLE IV - Regional Gov. tax revenue budget execution (january-december)")</f>
        <v>QUADRO IV - Execução orçamental da receita fiscal do Gov. Reg. (janeiro-dezembro)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2022</v>
      </c>
      <c r="E3" s="156">
        <v>2023</v>
      </c>
      <c r="F3" s="240" t="str">
        <f>+IF(Índice!$D$2=1,"VH (%)","yoy change (%)")</f>
        <v>VH (%)</v>
      </c>
      <c r="G3" s="240" t="str">
        <f>+IF(Índice!$D$2=1,"Grau de Execução (%)","Execution level (%)")</f>
        <v>Grau de Execução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1012587.4875100001</v>
      </c>
      <c r="E5" s="33">
        <v>1201378.0013799998</v>
      </c>
      <c r="F5" s="270">
        <v>0.18644365667034291</v>
      </c>
      <c r="G5" s="270">
        <v>1.1034350951831087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364950.58743999997</v>
      </c>
      <c r="E7" s="70">
        <v>488455.90042999998</v>
      </c>
      <c r="F7" s="271">
        <v>0.33841653429398844</v>
      </c>
      <c r="G7" s="271">
        <v>1.2887235147925848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258863.12078</v>
      </c>
      <c r="E8" s="70">
        <v>271127.02962000004</v>
      </c>
      <c r="F8" s="271">
        <v>4.7376037200844712E-2</v>
      </c>
      <c r="G8" s="271">
        <v>1.128511297313515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106087.46665999999</v>
      </c>
      <c r="E9" s="70">
        <v>217328.87080999999</v>
      </c>
      <c r="F9" s="271">
        <v>1.0485819640365048</v>
      </c>
      <c r="G9" s="271">
        <v>1.5660960897073262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647636.90007000009</v>
      </c>
      <c r="E11" s="70">
        <v>712922.10094999988</v>
      </c>
      <c r="F11" s="271">
        <v>0.10080525194432788</v>
      </c>
      <c r="G11" s="271">
        <v>1.004485197978092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42767.786289999996</v>
      </c>
      <c r="E12" s="70">
        <v>40381.250180000003</v>
      </c>
      <c r="F12" s="271">
        <v>-5.5802189381918388E-2</v>
      </c>
      <c r="G12" s="271">
        <v>0.7840410488505748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492750.16091999999</v>
      </c>
      <c r="E13" s="70">
        <v>549914.06316000002</v>
      </c>
      <c r="F13" s="271">
        <v>0.11600991085070556</v>
      </c>
      <c r="G13" s="271">
        <v>1.0107123081816254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5499.0146799999993</v>
      </c>
      <c r="E14" s="70">
        <v>7304.1588499999998</v>
      </c>
      <c r="F14" s="271">
        <v>0.32826683961498371</v>
      </c>
      <c r="G14" s="271">
        <v>1.4268722113694081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36724.206590000002</v>
      </c>
      <c r="E15" s="70">
        <v>41955.070380000005</v>
      </c>
      <c r="F15" s="271">
        <v>0.14243640028493809</v>
      </c>
      <c r="G15" s="271">
        <v>1.1188018768000001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9819.1372900000006</v>
      </c>
      <c r="E16" s="70">
        <v>9979.663340000001</v>
      </c>
      <c r="F16" s="271">
        <v>1.6348284503923116E-2</v>
      </c>
      <c r="G16" s="271">
        <v>0.90395501268115952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60076.594300000004</v>
      </c>
      <c r="E17" s="70">
        <v>63387.895039999996</v>
      </c>
      <c r="F17" s="271">
        <v>5.5117983610465604E-2</v>
      </c>
      <c r="G17" s="271">
        <v>1.0479047233687637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34481.966979999997</v>
      </c>
      <c r="E18" s="70">
        <v>35392.829359999996</v>
      </c>
      <c r="F18" s="271">
        <v>2.6415615458605046E-2</v>
      </c>
      <c r="G18" s="271">
        <v>1.0382515797822141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6928.7742500000004</v>
      </c>
      <c r="E19" s="70">
        <v>7371.3321900000001</v>
      </c>
      <c r="F19" s="271">
        <v>6.3872472104283151E-2</v>
      </c>
      <c r="G19" s="271">
        <v>0.96417074719276896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314837.69675999996</v>
      </c>
      <c r="E21" s="33">
        <v>335351.76193000004</v>
      </c>
      <c r="F21" s="270">
        <v>6.5157588754811258E-2</v>
      </c>
      <c r="G21" s="270">
        <v>0.62855039738214924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1327425.1842700001</v>
      </c>
      <c r="E23" s="139">
        <v>1536729.7633099998</v>
      </c>
      <c r="F23" s="274">
        <v>0.15767711922318539</v>
      </c>
      <c r="G23" s="274">
        <v>0.94725735144982837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N30" sqref="N30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(janeiro-dezembro)","TABLE V - Regional Gov. non-tax revenue budget execution (january-december)")</f>
        <v>QUADRO V - Execução orçamental da receita não fiscal do Gov. Reg. (janeiro-dezembro)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2022</v>
      </c>
      <c r="E3" s="156">
        <v>2023</v>
      </c>
      <c r="F3" s="226" t="str">
        <f>+IF(Índice!$D$2=1,"VH (%)","yoy change (%)")</f>
        <v>VH (%)</v>
      </c>
      <c r="G3" s="226" t="str">
        <f>+IF(Índice!$D$2=1,"Grau de Execução (%)","Execution level (%)")</f>
        <v>Grau de Execução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1012587.4875100001</v>
      </c>
      <c r="E5" s="41">
        <v>1201378.0013799998</v>
      </c>
      <c r="F5" s="276">
        <v>0.18644365667034291</v>
      </c>
      <c r="G5" s="42">
        <v>1.1034350951831087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314837.69675999996</v>
      </c>
      <c r="E7" s="41">
        <v>335351.76193000004</v>
      </c>
      <c r="F7" s="276">
        <v>6.5157588754811258E-2</v>
      </c>
      <c r="G7" s="42">
        <v>0.62855039738214924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224773.50958999997</v>
      </c>
      <c r="E8" s="41">
        <v>240912.82866999999</v>
      </c>
      <c r="F8" s="276">
        <v>7.1802585230969163E-2</v>
      </c>
      <c r="G8" s="42">
        <v>0.88826520925040475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18974.941500000001</v>
      </c>
      <c r="E10" s="71">
        <v>21606.332970000007</v>
      </c>
      <c r="F10" s="278">
        <v>0.13867718485456226</v>
      </c>
      <c r="G10" s="43">
        <v>0.89456575083220979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7831.0739800000001</v>
      </c>
      <c r="E11" s="71">
        <v>8417.6207999999988</v>
      </c>
      <c r="F11" s="278">
        <v>7.4899920687506949E-2</v>
      </c>
      <c r="G11" s="43">
        <v>0.97189357597668269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186987.96947999997</v>
      </c>
      <c r="E12" s="71">
        <v>195547.34126999998</v>
      </c>
      <c r="F12" s="278">
        <v>4.5774986560916275E-2</v>
      </c>
      <c r="G12" s="43">
        <v>1.0001515375233545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9220.081110000001</v>
      </c>
      <c r="E13" s="47">
        <v>11453.088170000001</v>
      </c>
      <c r="F13" s="278">
        <v>0.2421895245127621</v>
      </c>
      <c r="G13" s="43">
        <v>1.1446036267055868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1759.44352</v>
      </c>
      <c r="E14" s="71">
        <v>3888.4454599999999</v>
      </c>
      <c r="F14" s="278">
        <v>1.2100427867101979</v>
      </c>
      <c r="G14" s="43">
        <v>0.11826377342916224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90064.187170000005</v>
      </c>
      <c r="E17" s="41">
        <v>94438.93326000002</v>
      </c>
      <c r="F17" s="276">
        <v>4.8573647611369619E-2</v>
      </c>
      <c r="G17" s="42">
        <v>0.36002138354463892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4447.8396599999996</v>
      </c>
      <c r="E18" s="71">
        <v>7634.7410199999995</v>
      </c>
      <c r="F18" s="278">
        <v>0.71650545064837168</v>
      </c>
      <c r="G18" s="43">
        <v>0.281237783653213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74479.454190000004</v>
      </c>
      <c r="E19" s="44">
        <v>81389.624940000009</v>
      </c>
      <c r="F19" s="278">
        <v>9.2779556793902929E-2</v>
      </c>
      <c r="G19" s="43">
        <v>0.35971280784237114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1.3766800000000001</v>
      </c>
      <c r="E20" s="71">
        <v>8.2813999999999997</v>
      </c>
      <c r="F20" s="278">
        <v>5.0154865328180831</v>
      </c>
      <c r="G20" s="43">
        <v>4.0006763285024158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11135.51664</v>
      </c>
      <c r="E21" s="47">
        <v>5406.2859000000008</v>
      </c>
      <c r="F21" s="278">
        <v>-0.51450066711947362</v>
      </c>
      <c r="G21" s="43">
        <v>0.60724316522520505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v>1327425.1842700001</v>
      </c>
      <c r="E23" s="287">
        <v>1536729.7633099998</v>
      </c>
      <c r="F23" s="288">
        <v>0.15767711922318539</v>
      </c>
      <c r="G23" s="288">
        <v>0.94725735144982837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N30" sqref="N30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(janeiro-dezembro)","TABLE VI - Regional Gov. expenditure budget execution (january-december)")</f>
        <v>QUADRO VI - Execução orçamental das despesas do Governo Regional (janeiro-dezembro)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9">
        <v>2022</v>
      </c>
      <c r="E3" s="331">
        <v>2023</v>
      </c>
      <c r="F3" s="153">
        <v>2022</v>
      </c>
      <c r="G3" s="153">
        <v>2023</v>
      </c>
      <c r="H3" s="332" t="str">
        <f>+IF(Índice!$D$2=1,"VH (%)","yoy change (%)")</f>
        <v>VH (%)</v>
      </c>
    </row>
    <row r="4" spans="1:15" ht="12" customHeight="1">
      <c r="C4" s="132"/>
      <c r="D4" s="330"/>
      <c r="E4" s="330"/>
      <c r="F4" s="328" t="str">
        <f>+IF(Índice!$D$2=1,"Grau de Execução (%)","Execution level (%)")</f>
        <v>Grau de Execução (%)</v>
      </c>
      <c r="G4" s="328" t="str">
        <f>+IF(Índice!$D$2="PT","Grau de Execução (%)","Execution Level (%)")</f>
        <v>Execution Level (%)</v>
      </c>
      <c r="H4" s="333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1227087.9184199998</v>
      </c>
      <c r="E5" s="253">
        <v>1345963.2351100002</v>
      </c>
      <c r="F5" s="253">
        <v>92.134654508282424</v>
      </c>
      <c r="G5" s="253">
        <v>90.987807198724994</v>
      </c>
      <c r="H5" s="253">
        <v>9.6875957219972069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417357.24135000008</v>
      </c>
      <c r="E6" s="74">
        <v>451675.80176000029</v>
      </c>
      <c r="F6" s="74">
        <v>98.970988809094976</v>
      </c>
      <c r="G6" s="74">
        <v>98.827175136917162</v>
      </c>
      <c r="H6" s="254">
        <v>8.2228261570332535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333093.83971999999</v>
      </c>
      <c r="E7" s="75">
        <v>359736.1220600002</v>
      </c>
      <c r="F7" s="75">
        <v>99.182129723573013</v>
      </c>
      <c r="G7" s="75">
        <v>99.035550900247841</v>
      </c>
      <c r="H7" s="254">
        <v>7.9984314217266279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5247.1183299999966</v>
      </c>
      <c r="E8" s="75">
        <v>6940.2095799999988</v>
      </c>
      <c r="F8" s="75">
        <v>91.241584949007887</v>
      </c>
      <c r="G8" s="75">
        <v>91.139218700467524</v>
      </c>
      <c r="H8" s="254">
        <v>32.267068198555442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79016.283299999879</v>
      </c>
      <c r="E9" s="75">
        <v>84999.4701200001</v>
      </c>
      <c r="F9" s="75">
        <v>98.640679854254955</v>
      </c>
      <c r="G9" s="75">
        <v>98.628213537540148</v>
      </c>
      <c r="H9" s="254">
        <v>7.5720934598808576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152564.98370999994</v>
      </c>
      <c r="E10" s="75">
        <v>166508.89850000013</v>
      </c>
      <c r="F10" s="75">
        <v>82.246101575339807</v>
      </c>
      <c r="G10" s="75">
        <v>83.908213804743696</v>
      </c>
      <c r="H10" s="254">
        <v>9.1396560671518117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100944.9353</v>
      </c>
      <c r="E11" s="75">
        <v>125688.90943000004</v>
      </c>
      <c r="F11" s="75">
        <v>98.435389039442285</v>
      </c>
      <c r="G11" s="75">
        <v>93.365745344751659</v>
      </c>
      <c r="H11" s="254">
        <v>24.51234829807261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526838.03690999991</v>
      </c>
      <c r="E12" s="74">
        <v>577794.81918999983</v>
      </c>
      <c r="F12" s="74">
        <v>89.200141499339495</v>
      </c>
      <c r="G12" s="74">
        <v>88.9691149817249</v>
      </c>
      <c r="H12" s="254">
        <v>9.6721912067835198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434341.98012999992</v>
      </c>
      <c r="E13" s="74">
        <v>484250.91836999985</v>
      </c>
      <c r="F13" s="74">
        <v>90.693450337805132</v>
      </c>
      <c r="G13" s="74">
        <v>90.301090241362331</v>
      </c>
      <c r="H13" s="254">
        <v>11.490700996726595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274.87770999999998</v>
      </c>
      <c r="E14" s="75">
        <v>230</v>
      </c>
      <c r="F14" s="74">
        <v>99.99953070260004</v>
      </c>
      <c r="G14" s="74">
        <v>64.971017276640936</v>
      </c>
      <c r="H14" s="254">
        <v>-16.326427486608495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434067.10241999995</v>
      </c>
      <c r="E15" s="75">
        <v>484020.91836999985</v>
      </c>
      <c r="F15" s="75">
        <v>90.688105902552707</v>
      </c>
      <c r="G15" s="75">
        <v>90.317822475653998</v>
      </c>
      <c r="H15" s="254">
        <v>11.508316495652089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106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106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92496.056780000014</v>
      </c>
      <c r="E18" s="75">
        <v>93543.900819999952</v>
      </c>
      <c r="F18" s="72">
        <v>82.798316392299412</v>
      </c>
      <c r="G18" s="72">
        <v>82.657501232741794</v>
      </c>
      <c r="H18" s="77">
        <v>1.1328526604028255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28331.19968999999</v>
      </c>
      <c r="E19" s="72">
        <v>23299.428070000005</v>
      </c>
      <c r="F19" s="72">
        <v>93.834775417482447</v>
      </c>
      <c r="G19" s="72">
        <v>65.17551335018895</v>
      </c>
      <c r="H19" s="77">
        <v>-17.760531410803758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1051.5214599999995</v>
      </c>
      <c r="E20" s="72">
        <v>995.37815999999987</v>
      </c>
      <c r="F20" s="72">
        <v>82.120601971166579</v>
      </c>
      <c r="G20" s="72">
        <v>24.889313638487913</v>
      </c>
      <c r="H20" s="77">
        <v>-5.3392443364874014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1126142.9831199998</v>
      </c>
      <c r="E22" s="78">
        <v>1220274.3256800002</v>
      </c>
      <c r="F22" s="78">
        <v>91.609037705884376</v>
      </c>
      <c r="G22" s="78">
        <v>90.749740931108519</v>
      </c>
      <c r="H22" s="76">
        <v>8.3587380972891978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220540.54771000019</v>
      </c>
      <c r="E24" s="78">
        <v>160921.95369999995</v>
      </c>
      <c r="F24" s="78">
        <v>79.484319138631207</v>
      </c>
      <c r="G24" s="78">
        <v>58.762398753948439</v>
      </c>
      <c r="H24" s="76">
        <v>-27.032940032594688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113916.69684000021</v>
      </c>
      <c r="E25" s="72">
        <v>113871.42853999996</v>
      </c>
      <c r="F25" s="72">
        <v>70.104599957596449</v>
      </c>
      <c r="G25" s="72">
        <v>61.068607061961899</v>
      </c>
      <c r="H25" s="77">
        <v>-3.9738072869005589E-2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106623.85086999999</v>
      </c>
      <c r="E26" s="59">
        <v>47050.52515999999</v>
      </c>
      <c r="F26" s="59">
        <v>93.039684739320279</v>
      </c>
      <c r="G26" s="59">
        <v>53.841463320715107</v>
      </c>
      <c r="H26" s="77">
        <v>-55.87241993598051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95174.471080000003</v>
      </c>
      <c r="E27" s="59">
        <v>39679.856629999995</v>
      </c>
      <c r="F27" s="59">
        <v>85.726757459861389</v>
      </c>
      <c r="G27" s="59">
        <v>55.707029035273891</v>
      </c>
      <c r="H27" s="77">
        <v>-58.308298244550649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8327.1841000000004</v>
      </c>
      <c r="E28" s="72">
        <v>6769.5569299999997</v>
      </c>
      <c r="F28" s="72">
        <v>97.369060101234922</v>
      </c>
      <c r="G28" s="72">
        <v>76.429401594261336</v>
      </c>
      <c r="H28" s="77">
        <v>-18.705328851802385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86296.337639999998</v>
      </c>
      <c r="E29" s="72">
        <v>32087.352899999994</v>
      </c>
      <c r="F29" s="72">
        <v>84.872731665231754</v>
      </c>
      <c r="G29" s="72">
        <v>56.146418176310121</v>
      </c>
      <c r="H29" s="77">
        <v>-62.817248358953648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550.94934000000001</v>
      </c>
      <c r="E30" s="72">
        <v>822.94680000000005</v>
      </c>
      <c r="F30" s="72">
        <v>69.634648634984828</v>
      </c>
      <c r="G30" s="72">
        <v>15.756679694051748</v>
      </c>
      <c r="H30" s="77">
        <v>49.368869377355104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1447628.4661300001</v>
      </c>
      <c r="E33" s="142">
        <v>1506885.1888100002</v>
      </c>
      <c r="F33" s="143">
        <v>89.953580660185466</v>
      </c>
      <c r="G33" s="143">
        <v>85.953961002572115</v>
      </c>
      <c r="H33" s="141">
        <v>4.0933653949492559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49575.064700000003</v>
      </c>
      <c r="E36" s="150">
        <v>108036.33630000001</v>
      </c>
      <c r="F36" s="150">
        <v>99.260978104688633</v>
      </c>
      <c r="G36" s="150">
        <v>99.82335019780551</v>
      </c>
      <c r="H36" s="128">
        <v>117.92475098877684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530582.77517000004</v>
      </c>
      <c r="E37" s="150">
        <v>256439.51332999999</v>
      </c>
      <c r="F37" s="150">
        <v>99.999708466696831</v>
      </c>
      <c r="G37" s="150">
        <v>99.998385349009254</v>
      </c>
      <c r="H37" s="128">
        <v>-51.66833049794424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N30" sqref="N30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(janeiro-dezembro)","TABLE VII - Regional Gov. expenditure by functional classification (january-december)")</f>
        <v>QUADRO VII - Despesa do Governo Regional, por classificação funcional (janeiro-dezembro)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31">
        <v>2022</v>
      </c>
      <c r="E3" s="334">
        <v>2023</v>
      </c>
      <c r="F3" s="335" t="str">
        <f>+IF(Índice!$D$2=1,"Peso na estrutura
 em 2023","Weight in 2023 structure")</f>
        <v>Peso na estrutura
 em 2023</v>
      </c>
      <c r="M3" s="7"/>
      <c r="N3" s="7"/>
      <c r="P3" s="9"/>
      <c r="Q3" s="9"/>
    </row>
    <row r="4" spans="2:17" ht="13.5" customHeight="1">
      <c r="C4" s="134"/>
      <c r="D4" s="330"/>
      <c r="E4" s="330"/>
      <c r="F4" s="330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181612.87036999993</v>
      </c>
      <c r="E5" s="34">
        <v>224920.28663000005</v>
      </c>
      <c r="F5" s="34">
        <v>14.92617276354156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11380.060740000001</v>
      </c>
      <c r="E7" s="34">
        <v>11295.077549999996</v>
      </c>
      <c r="F7" s="34">
        <v>0.74956457425398237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366018.90703999973</v>
      </c>
      <c r="E8" s="34">
        <v>254026.2006100002</v>
      </c>
      <c r="F8" s="34">
        <v>16.857701070816603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17968.192749999998</v>
      </c>
      <c r="E9" s="34">
        <v>17996.442380000004</v>
      </c>
      <c r="F9" s="34">
        <v>1.1942809255569062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59459.700740000007</v>
      </c>
      <c r="E10" s="34">
        <v>105393.86721999996</v>
      </c>
      <c r="F10" s="34">
        <v>6.9941537684918371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368927.9570099999</v>
      </c>
      <c r="E11" s="34">
        <v>411494.80446000007</v>
      </c>
      <c r="F11" s="34">
        <v>27.307641452429493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36040.167399999998</v>
      </c>
      <c r="E12" s="34">
        <v>40425.383769999993</v>
      </c>
      <c r="F12" s="34">
        <v>2.6827116007374294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386864.33832000039</v>
      </c>
      <c r="E13" s="34">
        <v>420244.07303999981</v>
      </c>
      <c r="F13" s="34">
        <v>27.888260908043698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19356.271760000007</v>
      </c>
      <c r="E14" s="34">
        <v>21089.053150000011</v>
      </c>
      <c r="F14" s="34">
        <v>1.3995129361284793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1447628.4661300001</v>
      </c>
      <c r="E17" s="145">
        <v>1506885.1888100002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49575.064700000003</v>
      </c>
      <c r="E20" s="152">
        <v>108036.33630000001</v>
      </c>
      <c r="F20" s="152">
        <v>7.169513450810225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530582.77517000004</v>
      </c>
      <c r="E21" s="283">
        <v>256439.51332999999</v>
      </c>
      <c r="F21" s="283">
        <v>17.017853465831223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5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Q_11_12_13_14_Compromissos</vt:lpstr>
      <vt:lpstr>Pagamentos_Atraso </vt:lpstr>
      <vt:lpstr>'CAPA (PT)'!Área_de_Impressão</vt:lpstr>
      <vt:lpstr>Índice!Área_de_Impressão</vt:lpstr>
      <vt:lpstr>'Pagamentos_Atraso '!Área_de_Impressão</vt:lpstr>
      <vt:lpstr>Q_11_12_13_14_Compromissos!Área_de_Impressão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2024-01-30T09:26:04Z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