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Novembro\"/>
    </mc:Choice>
  </mc:AlternateContent>
  <xr:revisionPtr revIDLastSave="0" documentId="13_ncr:1_{249CD70E-7375-49E4-8906-C4D3405C858B}" xr6:coauthVersionLast="47" xr6:coauthVersionMax="47" xr10:uidLastSave="{00000000-0000-0000-0000-000000000000}"/>
  <bookViews>
    <workbookView xWindow="2868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externalReferences>
    <externalReference r:id="rId17"/>
    <externalReference r:id="rId18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Q8_D_Est_Org!$C$1:$M$45</definedName>
    <definedName name="_xlnm.Print_Area" localSheetId="10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Q8_D_Est_Org!$B$1:$AD$46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Q8_D_Est_Org!$B$1:$AD$46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Q8_D_Est_Org!$N:$AB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Q8_D_Est_Org!$B$1:$AD$46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Q8_D_Est_Org!$B$1:$AD$46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Q8_D_Est_Org!$N:$AB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Q8_D_Est_Org!$B$1:$AD$46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Q8_D_Est_Org!$N:$AB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Q8_D_Est_Org!$B$1:$AD$46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Q8_D_Est_Org!$N:$AB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Q8_D_Est_Org!$B$1:$AD$46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Q8_D_Est_Org!$N:$AB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Q8_D_Est_Org!$B$1:$AD$46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Q8_D_Est_Org!$N:$AB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Q8_D_Est_Org!$B$1:$AD$46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Q8_D_Est_Org!$D$1:$M$46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Q8_D_Est_Org!$N:$AB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Q8_D_Est_Org!$B$1:$AD$46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Q8_D_Est_Org!$N:$AB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Q8_D_Est_Org!$B$1:$AD$46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9" l="1"/>
  <c r="C2" i="50"/>
  <c r="C2" i="10"/>
  <c r="C2" i="11"/>
  <c r="C2" i="12"/>
  <c r="C2" i="39"/>
  <c r="C2" i="13"/>
  <c r="C2" i="51"/>
  <c r="C2" i="61"/>
  <c r="D42" i="38"/>
  <c r="C41" i="38"/>
  <c r="D33" i="38"/>
  <c r="C32" i="38"/>
  <c r="D24" i="38"/>
  <c r="C23" i="38"/>
  <c r="D3" i="38"/>
  <c r="C2" i="38"/>
  <c r="C2" i="32"/>
  <c r="C2" i="8"/>
  <c r="C2" i="60"/>
  <c r="I47" i="38"/>
  <c r="H47" i="38"/>
  <c r="G47" i="38"/>
  <c r="F47" i="38"/>
  <c r="E47" i="38"/>
  <c r="D47" i="38"/>
  <c r="I46" i="38"/>
  <c r="H46" i="38"/>
  <c r="G46" i="38"/>
  <c r="F46" i="38"/>
  <c r="E46" i="38"/>
  <c r="D46" i="38"/>
  <c r="I45" i="38"/>
  <c r="H45" i="38"/>
  <c r="G45" i="38"/>
  <c r="F45" i="38"/>
  <c r="E45" i="38"/>
  <c r="D45" i="38"/>
  <c r="I38" i="38"/>
  <c r="H38" i="38"/>
  <c r="G38" i="38"/>
  <c r="F38" i="38"/>
  <c r="E38" i="38"/>
  <c r="D38" i="38"/>
  <c r="I37" i="38"/>
  <c r="H37" i="38"/>
  <c r="G37" i="38"/>
  <c r="F37" i="38"/>
  <c r="E37" i="38"/>
  <c r="D37" i="38"/>
  <c r="I36" i="38"/>
  <c r="H36" i="38"/>
  <c r="G36" i="38"/>
  <c r="F36" i="38"/>
  <c r="E36" i="38"/>
  <c r="D36" i="38"/>
  <c r="I29" i="38"/>
  <c r="H29" i="38"/>
  <c r="G29" i="38"/>
  <c r="F29" i="38"/>
  <c r="E29" i="38"/>
  <c r="D29" i="38"/>
  <c r="I28" i="38"/>
  <c r="H28" i="38"/>
  <c r="G28" i="38"/>
  <c r="F28" i="38"/>
  <c r="E28" i="38"/>
  <c r="D28" i="38"/>
  <c r="I27" i="38"/>
  <c r="H27" i="38"/>
  <c r="G27" i="38"/>
  <c r="F27" i="38"/>
  <c r="E27" i="38"/>
  <c r="D27" i="38"/>
  <c r="I19" i="38"/>
  <c r="H19" i="38"/>
  <c r="G19" i="38"/>
  <c r="F19" i="38"/>
  <c r="E19" i="38"/>
  <c r="D19" i="38"/>
  <c r="I17" i="38"/>
  <c r="H17" i="38"/>
  <c r="G17" i="38"/>
  <c r="F17" i="38"/>
  <c r="E17" i="38"/>
  <c r="D17" i="38"/>
  <c r="I16" i="38"/>
  <c r="H16" i="38"/>
  <c r="G16" i="38"/>
  <c r="F16" i="38"/>
  <c r="E16" i="38"/>
  <c r="D16" i="38"/>
  <c r="I15" i="38"/>
  <c r="H15" i="38"/>
  <c r="G15" i="38"/>
  <c r="F15" i="38"/>
  <c r="E15" i="38"/>
  <c r="D15" i="38"/>
  <c r="I14" i="38"/>
  <c r="H14" i="38"/>
  <c r="G14" i="38"/>
  <c r="F14" i="38"/>
  <c r="E14" i="38"/>
  <c r="D14" i="38"/>
  <c r="I13" i="38"/>
  <c r="H13" i="38"/>
  <c r="G13" i="38"/>
  <c r="F13" i="38"/>
  <c r="E13" i="38"/>
  <c r="D13" i="38"/>
  <c r="I12" i="38"/>
  <c r="H12" i="38"/>
  <c r="G12" i="38"/>
  <c r="F12" i="38"/>
  <c r="E12" i="38"/>
  <c r="D12" i="38"/>
  <c r="I11" i="38"/>
  <c r="H11" i="38"/>
  <c r="G11" i="38"/>
  <c r="F11" i="38"/>
  <c r="E11" i="38"/>
  <c r="D11" i="38"/>
  <c r="I10" i="38"/>
  <c r="H10" i="38"/>
  <c r="G10" i="38"/>
  <c r="F10" i="38"/>
  <c r="E10" i="38"/>
  <c r="D10" i="38"/>
  <c r="I9" i="38"/>
  <c r="H9" i="38"/>
  <c r="G9" i="38"/>
  <c r="F9" i="38"/>
  <c r="E9" i="38"/>
  <c r="D9" i="38"/>
  <c r="I8" i="38"/>
  <c r="H8" i="38"/>
  <c r="G8" i="38"/>
  <c r="F8" i="38"/>
  <c r="E8" i="38"/>
  <c r="D8" i="38"/>
  <c r="I7" i="38"/>
  <c r="H7" i="38"/>
  <c r="G7" i="38"/>
  <c r="F7" i="38"/>
  <c r="E7" i="38"/>
  <c r="D7" i="38"/>
  <c r="I6" i="38"/>
  <c r="H6" i="38"/>
  <c r="G6" i="38"/>
  <c r="F6" i="38"/>
  <c r="E6" i="38"/>
  <c r="D6" i="38"/>
  <c r="F31" i="61"/>
  <c r="E31" i="61"/>
  <c r="D31" i="61"/>
  <c r="F29" i="61"/>
  <c r="E29" i="61"/>
  <c r="D29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5" i="61"/>
  <c r="E15" i="61"/>
  <c r="D15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E7" i="61"/>
  <c r="D7" i="61"/>
  <c r="F6" i="61"/>
  <c r="E6" i="61"/>
  <c r="D6" i="61"/>
  <c r="F5" i="61"/>
  <c r="E5" i="61"/>
  <c r="D5" i="61"/>
  <c r="F44" i="51"/>
  <c r="E44" i="51"/>
  <c r="D44" i="51"/>
  <c r="F40" i="51"/>
  <c r="E40" i="51"/>
  <c r="D40" i="51"/>
  <c r="F39" i="51"/>
  <c r="E39" i="51"/>
  <c r="D39" i="51"/>
  <c r="F38" i="51"/>
  <c r="E38" i="51"/>
  <c r="D38" i="51"/>
  <c r="F36" i="51"/>
  <c r="E36" i="51"/>
  <c r="D36" i="51"/>
  <c r="F34" i="51"/>
  <c r="E34" i="51"/>
  <c r="D34" i="51"/>
  <c r="F33" i="51"/>
  <c r="E33" i="51"/>
  <c r="D33" i="51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6" i="51"/>
  <c r="E26" i="51"/>
  <c r="D26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D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E7" i="51"/>
  <c r="D7" i="51"/>
  <c r="F6" i="51"/>
  <c r="E6" i="51"/>
  <c r="D6" i="51"/>
  <c r="F5" i="51"/>
  <c r="E5" i="51"/>
  <c r="D5" i="51"/>
  <c r="F4" i="51"/>
  <c r="E4" i="51"/>
  <c r="D4" i="51"/>
  <c r="F10" i="13"/>
  <c r="E10" i="13"/>
  <c r="D10" i="13"/>
  <c r="F9" i="13"/>
  <c r="E9" i="13"/>
  <c r="D9" i="13"/>
  <c r="F8" i="13"/>
  <c r="E8" i="13"/>
  <c r="D8" i="13"/>
  <c r="F7" i="13"/>
  <c r="E7" i="13"/>
  <c r="D7" i="13"/>
  <c r="F4" i="13"/>
  <c r="E4" i="13"/>
  <c r="D4" i="13"/>
  <c r="E5" i="39"/>
  <c r="D5" i="39"/>
  <c r="M44" i="12"/>
  <c r="L44" i="12"/>
  <c r="K44" i="12"/>
  <c r="J44" i="12"/>
  <c r="I44" i="12"/>
  <c r="H44" i="12"/>
  <c r="G44" i="12"/>
  <c r="F44" i="12"/>
  <c r="E44" i="12"/>
  <c r="D44" i="12"/>
  <c r="M41" i="12"/>
  <c r="L41" i="12"/>
  <c r="K41" i="12"/>
  <c r="J41" i="12"/>
  <c r="I41" i="12"/>
  <c r="H41" i="12"/>
  <c r="G41" i="12"/>
  <c r="F41" i="12"/>
  <c r="E41" i="12"/>
  <c r="D41" i="12"/>
  <c r="M40" i="12"/>
  <c r="L40" i="12"/>
  <c r="K40" i="12"/>
  <c r="J40" i="12"/>
  <c r="I40" i="12"/>
  <c r="H40" i="12"/>
  <c r="G40" i="12"/>
  <c r="F40" i="12"/>
  <c r="E40" i="12"/>
  <c r="D40" i="12"/>
  <c r="M38" i="12"/>
  <c r="L38" i="12"/>
  <c r="K38" i="12"/>
  <c r="J38" i="12"/>
  <c r="I38" i="12"/>
  <c r="H38" i="12"/>
  <c r="G38" i="12"/>
  <c r="F38" i="12"/>
  <c r="E38" i="12"/>
  <c r="D38" i="12"/>
  <c r="M36" i="12"/>
  <c r="L36" i="12"/>
  <c r="K36" i="12"/>
  <c r="J36" i="12"/>
  <c r="I36" i="12"/>
  <c r="H36" i="12"/>
  <c r="G36" i="12"/>
  <c r="F36" i="12"/>
  <c r="E36" i="12"/>
  <c r="D36" i="12"/>
  <c r="M35" i="12"/>
  <c r="L35" i="12"/>
  <c r="K35" i="12"/>
  <c r="J35" i="12"/>
  <c r="I35" i="12"/>
  <c r="H35" i="12"/>
  <c r="G35" i="12"/>
  <c r="F35" i="12"/>
  <c r="E35" i="12"/>
  <c r="D35" i="12"/>
  <c r="M34" i="12"/>
  <c r="L34" i="12"/>
  <c r="K34" i="12"/>
  <c r="J34" i="12"/>
  <c r="I34" i="12"/>
  <c r="H34" i="12"/>
  <c r="G34" i="12"/>
  <c r="F34" i="12"/>
  <c r="E34" i="12"/>
  <c r="D34" i="12"/>
  <c r="M33" i="12"/>
  <c r="L33" i="12"/>
  <c r="K33" i="12"/>
  <c r="J33" i="12"/>
  <c r="I33" i="12"/>
  <c r="H33" i="12"/>
  <c r="G33" i="12"/>
  <c r="F33" i="12"/>
  <c r="E33" i="12"/>
  <c r="D33" i="12"/>
  <c r="M32" i="12"/>
  <c r="L32" i="12"/>
  <c r="K32" i="12"/>
  <c r="J32" i="12"/>
  <c r="I32" i="12"/>
  <c r="H32" i="12"/>
  <c r="G32" i="12"/>
  <c r="F32" i="12"/>
  <c r="E32" i="12"/>
  <c r="D32" i="12"/>
  <c r="M31" i="12"/>
  <c r="L31" i="12"/>
  <c r="K31" i="12"/>
  <c r="J31" i="12"/>
  <c r="I31" i="12"/>
  <c r="H31" i="12"/>
  <c r="G31" i="12"/>
  <c r="F31" i="12"/>
  <c r="E31" i="12"/>
  <c r="D31" i="12"/>
  <c r="M30" i="12"/>
  <c r="L30" i="12"/>
  <c r="K30" i="12"/>
  <c r="J30" i="12"/>
  <c r="I30" i="12"/>
  <c r="H30" i="12"/>
  <c r="G30" i="12"/>
  <c r="F30" i="12"/>
  <c r="E30" i="12"/>
  <c r="D30" i="12"/>
  <c r="M29" i="12"/>
  <c r="L29" i="12"/>
  <c r="K29" i="12"/>
  <c r="J29" i="12"/>
  <c r="I29" i="12"/>
  <c r="H29" i="12"/>
  <c r="G29" i="12"/>
  <c r="F29" i="12"/>
  <c r="E29" i="12"/>
  <c r="D29" i="12"/>
  <c r="M28" i="12"/>
  <c r="L28" i="12"/>
  <c r="K28" i="12"/>
  <c r="J28" i="12"/>
  <c r="I28" i="12"/>
  <c r="H28" i="12"/>
  <c r="G28" i="12"/>
  <c r="F28" i="12"/>
  <c r="E28" i="12"/>
  <c r="D28" i="12"/>
  <c r="M27" i="12"/>
  <c r="L27" i="12"/>
  <c r="K27" i="12"/>
  <c r="J27" i="12"/>
  <c r="I27" i="12"/>
  <c r="H27" i="12"/>
  <c r="G27" i="12"/>
  <c r="F27" i="12"/>
  <c r="E27" i="12"/>
  <c r="D27" i="12"/>
  <c r="M26" i="12"/>
  <c r="L26" i="12"/>
  <c r="K26" i="12"/>
  <c r="J26" i="12"/>
  <c r="I26" i="12"/>
  <c r="H26" i="12"/>
  <c r="G26" i="12"/>
  <c r="F26" i="12"/>
  <c r="E26" i="12"/>
  <c r="D26" i="12"/>
  <c r="M25" i="12"/>
  <c r="L25" i="12"/>
  <c r="K25" i="12"/>
  <c r="J25" i="12"/>
  <c r="I25" i="12"/>
  <c r="H25" i="12"/>
  <c r="G25" i="12"/>
  <c r="F25" i="12"/>
  <c r="E25" i="12"/>
  <c r="D25" i="12"/>
  <c r="M24" i="12"/>
  <c r="L24" i="12"/>
  <c r="K24" i="12"/>
  <c r="J24" i="12"/>
  <c r="I24" i="12"/>
  <c r="H24" i="12"/>
  <c r="G24" i="12"/>
  <c r="F24" i="12"/>
  <c r="E24" i="12"/>
  <c r="D24" i="12"/>
  <c r="M23" i="12"/>
  <c r="L23" i="12"/>
  <c r="K23" i="12"/>
  <c r="J23" i="12"/>
  <c r="I23" i="12"/>
  <c r="H23" i="12"/>
  <c r="G23" i="12"/>
  <c r="F23" i="12"/>
  <c r="E23" i="12"/>
  <c r="D23" i="12"/>
  <c r="M22" i="12"/>
  <c r="L22" i="12"/>
  <c r="K22" i="12"/>
  <c r="J22" i="12"/>
  <c r="I22" i="12"/>
  <c r="H22" i="12"/>
  <c r="G22" i="12"/>
  <c r="F22" i="12"/>
  <c r="E22" i="12"/>
  <c r="D22" i="12"/>
  <c r="M21" i="12"/>
  <c r="L21" i="12"/>
  <c r="K21" i="12"/>
  <c r="J21" i="12"/>
  <c r="I21" i="12"/>
  <c r="H21" i="12"/>
  <c r="G21" i="12"/>
  <c r="F21" i="12"/>
  <c r="E21" i="12"/>
  <c r="D21" i="12"/>
  <c r="M20" i="12"/>
  <c r="L20" i="12"/>
  <c r="K20" i="12"/>
  <c r="J20" i="12"/>
  <c r="I20" i="12"/>
  <c r="H20" i="12"/>
  <c r="G20" i="12"/>
  <c r="F20" i="12"/>
  <c r="E20" i="12"/>
  <c r="D20" i="12"/>
  <c r="M19" i="12"/>
  <c r="L19" i="12"/>
  <c r="K19" i="12"/>
  <c r="J19" i="12"/>
  <c r="I19" i="12"/>
  <c r="H19" i="12"/>
  <c r="G19" i="12"/>
  <c r="F19" i="12"/>
  <c r="E19" i="12"/>
  <c r="D19" i="12"/>
  <c r="M18" i="12"/>
  <c r="L18" i="12"/>
  <c r="K18" i="12"/>
  <c r="J18" i="12"/>
  <c r="I18" i="12"/>
  <c r="H18" i="12"/>
  <c r="G18" i="12"/>
  <c r="F18" i="12"/>
  <c r="E18" i="12"/>
  <c r="D18" i="12"/>
  <c r="M17" i="12"/>
  <c r="L17" i="12"/>
  <c r="K17" i="12"/>
  <c r="J17" i="12"/>
  <c r="I17" i="12"/>
  <c r="H17" i="12"/>
  <c r="G17" i="12"/>
  <c r="F17" i="12"/>
  <c r="E17" i="12"/>
  <c r="D17" i="12"/>
  <c r="M16" i="12"/>
  <c r="L16" i="12"/>
  <c r="K16" i="12"/>
  <c r="J16" i="12"/>
  <c r="I16" i="12"/>
  <c r="H16" i="12"/>
  <c r="G16" i="12"/>
  <c r="F16" i="12"/>
  <c r="E16" i="12"/>
  <c r="D16" i="12"/>
  <c r="M15" i="12"/>
  <c r="L15" i="12"/>
  <c r="K15" i="12"/>
  <c r="J15" i="12"/>
  <c r="I15" i="12"/>
  <c r="H15" i="12"/>
  <c r="G15" i="12"/>
  <c r="F15" i="12"/>
  <c r="E15" i="12"/>
  <c r="D15" i="12"/>
  <c r="M14" i="12"/>
  <c r="L14" i="12"/>
  <c r="K14" i="12"/>
  <c r="J14" i="12"/>
  <c r="I14" i="12"/>
  <c r="H14" i="12"/>
  <c r="G14" i="12"/>
  <c r="F14" i="12"/>
  <c r="E14" i="12"/>
  <c r="D14" i="12"/>
  <c r="M13" i="12"/>
  <c r="L13" i="12"/>
  <c r="K13" i="12"/>
  <c r="J13" i="12"/>
  <c r="I13" i="12"/>
  <c r="H13" i="12"/>
  <c r="G13" i="12"/>
  <c r="F13" i="12"/>
  <c r="E13" i="12"/>
  <c r="D13" i="12"/>
  <c r="M12" i="12"/>
  <c r="L12" i="12"/>
  <c r="K12" i="12"/>
  <c r="J12" i="12"/>
  <c r="I12" i="12"/>
  <c r="H12" i="12"/>
  <c r="G12" i="12"/>
  <c r="F12" i="12"/>
  <c r="E12" i="12"/>
  <c r="D12" i="12"/>
  <c r="M11" i="12"/>
  <c r="L11" i="12"/>
  <c r="K11" i="12"/>
  <c r="J11" i="12"/>
  <c r="I11" i="12"/>
  <c r="H11" i="12"/>
  <c r="G11" i="12"/>
  <c r="F11" i="12"/>
  <c r="E11" i="12"/>
  <c r="D11" i="12"/>
  <c r="M10" i="12"/>
  <c r="L10" i="12"/>
  <c r="K10" i="12"/>
  <c r="J10" i="12"/>
  <c r="I10" i="12"/>
  <c r="H10" i="12"/>
  <c r="G10" i="12"/>
  <c r="F10" i="12"/>
  <c r="E10" i="12"/>
  <c r="D10" i="12"/>
  <c r="M9" i="12"/>
  <c r="L9" i="12"/>
  <c r="K9" i="12"/>
  <c r="J9" i="12"/>
  <c r="I9" i="12"/>
  <c r="H9" i="12"/>
  <c r="G9" i="12"/>
  <c r="F9" i="12"/>
  <c r="E9" i="12"/>
  <c r="D9" i="12"/>
  <c r="M8" i="12"/>
  <c r="L8" i="12"/>
  <c r="K8" i="12"/>
  <c r="J8" i="12"/>
  <c r="I8" i="12"/>
  <c r="H8" i="12"/>
  <c r="G8" i="12"/>
  <c r="F8" i="12"/>
  <c r="E8" i="12"/>
  <c r="D8" i="12"/>
  <c r="M7" i="12"/>
  <c r="L7" i="12"/>
  <c r="K7" i="12"/>
  <c r="J7" i="12"/>
  <c r="I7" i="12"/>
  <c r="H7" i="12"/>
  <c r="G7" i="12"/>
  <c r="F7" i="12"/>
  <c r="E7" i="12"/>
  <c r="D7" i="12"/>
  <c r="M6" i="12"/>
  <c r="L6" i="12"/>
  <c r="K6" i="12"/>
  <c r="J6" i="12"/>
  <c r="I6" i="12"/>
  <c r="H6" i="12"/>
  <c r="G6" i="12"/>
  <c r="F6" i="12"/>
  <c r="E6" i="12"/>
  <c r="D6" i="12"/>
  <c r="M5" i="12"/>
  <c r="L5" i="12"/>
  <c r="K5" i="12"/>
  <c r="J5" i="12"/>
  <c r="I5" i="12"/>
  <c r="H5" i="12"/>
  <c r="G5" i="12"/>
  <c r="F5" i="12"/>
  <c r="E5" i="12"/>
  <c r="D5" i="12"/>
  <c r="M4" i="12"/>
  <c r="L4" i="12"/>
  <c r="K4" i="12"/>
  <c r="J4" i="12"/>
  <c r="I4" i="12"/>
  <c r="H4" i="12"/>
  <c r="G4" i="12"/>
  <c r="F4" i="12"/>
  <c r="E4" i="12"/>
  <c r="D4" i="12"/>
  <c r="F21" i="11"/>
  <c r="E21" i="11"/>
  <c r="D21" i="11"/>
  <c r="F20" i="11"/>
  <c r="E20" i="11"/>
  <c r="D20" i="11"/>
  <c r="F17" i="11"/>
  <c r="E17" i="11"/>
  <c r="D17" i="11"/>
  <c r="F14" i="11"/>
  <c r="E14" i="11"/>
  <c r="D14" i="11"/>
  <c r="F13" i="11"/>
  <c r="E13" i="11"/>
  <c r="D13" i="11"/>
  <c r="F12" i="11"/>
  <c r="E12" i="11"/>
  <c r="D12" i="11"/>
  <c r="F11" i="11"/>
  <c r="E11" i="11"/>
  <c r="D11" i="11"/>
  <c r="F10" i="11"/>
  <c r="E10" i="11"/>
  <c r="D10" i="11"/>
  <c r="F9" i="11"/>
  <c r="E9" i="11"/>
  <c r="D9" i="11"/>
  <c r="F8" i="11"/>
  <c r="E8" i="11"/>
  <c r="D8" i="11"/>
  <c r="F7" i="11"/>
  <c r="E7" i="11"/>
  <c r="D7" i="11"/>
  <c r="F6" i="11"/>
  <c r="E6" i="11"/>
  <c r="D6" i="11"/>
  <c r="F5" i="11"/>
  <c r="E5" i="11"/>
  <c r="D5" i="11"/>
  <c r="H37" i="10"/>
  <c r="G37" i="10"/>
  <c r="F37" i="10"/>
  <c r="E37" i="10"/>
  <c r="D37" i="10"/>
  <c r="H36" i="10"/>
  <c r="G36" i="10"/>
  <c r="F36" i="10"/>
  <c r="E36" i="10"/>
  <c r="D36" i="10"/>
  <c r="H33" i="10"/>
  <c r="G33" i="10"/>
  <c r="F33" i="10"/>
  <c r="E33" i="10"/>
  <c r="D33" i="10"/>
  <c r="H31" i="10"/>
  <c r="G31" i="10"/>
  <c r="F31" i="10"/>
  <c r="E31" i="10"/>
  <c r="D31" i="10"/>
  <c r="H30" i="10"/>
  <c r="G30" i="10"/>
  <c r="F30" i="10"/>
  <c r="E30" i="10"/>
  <c r="D30" i="10"/>
  <c r="H29" i="10"/>
  <c r="G29" i="10"/>
  <c r="F29" i="10"/>
  <c r="E29" i="10"/>
  <c r="D29" i="10"/>
  <c r="H28" i="10"/>
  <c r="G28" i="10"/>
  <c r="F28" i="10"/>
  <c r="E28" i="10"/>
  <c r="D28" i="10"/>
  <c r="H27" i="10"/>
  <c r="G27" i="10"/>
  <c r="F27" i="10"/>
  <c r="E27" i="10"/>
  <c r="D27" i="10"/>
  <c r="H26" i="10"/>
  <c r="G26" i="10"/>
  <c r="F26" i="10"/>
  <c r="E26" i="10"/>
  <c r="D26" i="10"/>
  <c r="H25" i="10"/>
  <c r="G25" i="10"/>
  <c r="F25" i="10"/>
  <c r="E25" i="10"/>
  <c r="D25" i="10"/>
  <c r="H24" i="10"/>
  <c r="G24" i="10"/>
  <c r="F24" i="10"/>
  <c r="E24" i="10"/>
  <c r="D24" i="10"/>
  <c r="H22" i="10"/>
  <c r="G22" i="10"/>
  <c r="F22" i="10"/>
  <c r="E22" i="10"/>
  <c r="D22" i="10"/>
  <c r="H20" i="10"/>
  <c r="G20" i="10"/>
  <c r="F20" i="10"/>
  <c r="E20" i="10"/>
  <c r="D20" i="10"/>
  <c r="H19" i="10"/>
  <c r="G19" i="10"/>
  <c r="F19" i="10"/>
  <c r="E19" i="10"/>
  <c r="D19" i="10"/>
  <c r="H18" i="10"/>
  <c r="G18" i="10"/>
  <c r="F18" i="10"/>
  <c r="E18" i="10"/>
  <c r="D18" i="10"/>
  <c r="H17" i="10"/>
  <c r="G17" i="10"/>
  <c r="F17" i="10"/>
  <c r="E17" i="10"/>
  <c r="D17" i="10"/>
  <c r="H16" i="10"/>
  <c r="G16" i="10"/>
  <c r="F16" i="10"/>
  <c r="E16" i="10"/>
  <c r="D16" i="10"/>
  <c r="H15" i="10"/>
  <c r="G15" i="10"/>
  <c r="F15" i="10"/>
  <c r="E15" i="10"/>
  <c r="D15" i="10"/>
  <c r="H14" i="10"/>
  <c r="G14" i="10"/>
  <c r="F14" i="10"/>
  <c r="E14" i="10"/>
  <c r="D14" i="10"/>
  <c r="H13" i="10"/>
  <c r="G13" i="10"/>
  <c r="F13" i="10"/>
  <c r="E13" i="10"/>
  <c r="D13" i="10"/>
  <c r="H12" i="10"/>
  <c r="G12" i="10"/>
  <c r="F12" i="10"/>
  <c r="E12" i="10"/>
  <c r="D12" i="10"/>
  <c r="H11" i="10"/>
  <c r="G11" i="10"/>
  <c r="F11" i="10"/>
  <c r="E11" i="10"/>
  <c r="D11" i="10"/>
  <c r="H10" i="10"/>
  <c r="G10" i="10"/>
  <c r="F10" i="10"/>
  <c r="E10" i="10"/>
  <c r="D10" i="10"/>
  <c r="H9" i="10"/>
  <c r="G9" i="10"/>
  <c r="F9" i="10"/>
  <c r="E9" i="10"/>
  <c r="D9" i="10"/>
  <c r="H8" i="10"/>
  <c r="G8" i="10"/>
  <c r="F8" i="10"/>
  <c r="E8" i="10"/>
  <c r="D8" i="10"/>
  <c r="H7" i="10"/>
  <c r="G7" i="10"/>
  <c r="F7" i="10"/>
  <c r="E7" i="10"/>
  <c r="D7" i="10"/>
  <c r="H6" i="10"/>
  <c r="G6" i="10"/>
  <c r="F6" i="10"/>
  <c r="E6" i="10"/>
  <c r="D6" i="10"/>
  <c r="H5" i="10"/>
  <c r="G5" i="10"/>
  <c r="F5" i="10"/>
  <c r="E5" i="10"/>
  <c r="D5" i="10"/>
  <c r="G23" i="50"/>
  <c r="F23" i="50"/>
  <c r="E23" i="50"/>
  <c r="D23" i="50"/>
  <c r="G21" i="50"/>
  <c r="F21" i="50"/>
  <c r="E21" i="50"/>
  <c r="D21" i="50"/>
  <c r="G20" i="50"/>
  <c r="F20" i="50"/>
  <c r="E20" i="50"/>
  <c r="D20" i="50"/>
  <c r="G19" i="50"/>
  <c r="F19" i="50"/>
  <c r="E19" i="50"/>
  <c r="D19" i="50"/>
  <c r="G18" i="50"/>
  <c r="F18" i="50"/>
  <c r="E18" i="50"/>
  <c r="D18" i="50"/>
  <c r="G17" i="50"/>
  <c r="F17" i="50"/>
  <c r="E17" i="50"/>
  <c r="D17" i="50"/>
  <c r="G15" i="50"/>
  <c r="F15" i="50"/>
  <c r="E15" i="50"/>
  <c r="D15" i="50"/>
  <c r="G14" i="50"/>
  <c r="F14" i="50"/>
  <c r="E14" i="50"/>
  <c r="D14" i="50"/>
  <c r="G13" i="50"/>
  <c r="F13" i="50"/>
  <c r="E13" i="50"/>
  <c r="D13" i="50"/>
  <c r="G12" i="50"/>
  <c r="F12" i="50"/>
  <c r="E12" i="50"/>
  <c r="D12" i="50"/>
  <c r="G11" i="50"/>
  <c r="F11" i="50"/>
  <c r="E11" i="50"/>
  <c r="D11" i="50"/>
  <c r="G10" i="50"/>
  <c r="F10" i="50"/>
  <c r="E10" i="50"/>
  <c r="D10" i="50"/>
  <c r="G9" i="50"/>
  <c r="F9" i="50"/>
  <c r="E9" i="50"/>
  <c r="D9" i="50"/>
  <c r="G8" i="50"/>
  <c r="F8" i="50"/>
  <c r="E8" i="50"/>
  <c r="D8" i="50"/>
  <c r="G7" i="50"/>
  <c r="F7" i="50"/>
  <c r="E7" i="50"/>
  <c r="D7" i="50"/>
  <c r="G5" i="50"/>
  <c r="F5" i="50"/>
  <c r="E5" i="50"/>
  <c r="D5" i="50"/>
  <c r="G23" i="9"/>
  <c r="F23" i="9"/>
  <c r="E23" i="9"/>
  <c r="D23" i="9"/>
  <c r="G21" i="9"/>
  <c r="F21" i="9"/>
  <c r="E21" i="9"/>
  <c r="D21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5" i="9"/>
  <c r="F5" i="9"/>
  <c r="E5" i="9"/>
  <c r="D5" i="9"/>
  <c r="F31" i="60"/>
  <c r="E31" i="60"/>
  <c r="D31" i="60"/>
  <c r="F30" i="60"/>
  <c r="E30" i="60"/>
  <c r="D30" i="60"/>
  <c r="F29" i="60"/>
  <c r="E29" i="60"/>
  <c r="D29" i="60"/>
  <c r="F27" i="60"/>
  <c r="E27" i="60"/>
  <c r="D27" i="60"/>
  <c r="F25" i="60"/>
  <c r="E25" i="60"/>
  <c r="D25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2" i="60"/>
  <c r="E12" i="60"/>
  <c r="D12" i="60"/>
  <c r="F10" i="60"/>
  <c r="E10" i="60"/>
  <c r="D10" i="60"/>
  <c r="F9" i="60"/>
  <c r="E9" i="60"/>
  <c r="D9" i="60"/>
  <c r="F8" i="60"/>
  <c r="E8" i="60"/>
  <c r="D8" i="60"/>
  <c r="F7" i="60"/>
  <c r="E7" i="60"/>
  <c r="D7" i="60"/>
  <c r="F6" i="60"/>
  <c r="E6" i="60"/>
  <c r="D6" i="60"/>
  <c r="F5" i="60"/>
  <c r="E5" i="60"/>
  <c r="D5" i="60"/>
  <c r="F3" i="60"/>
  <c r="E3" i="60"/>
  <c r="D3" i="60"/>
  <c r="F36" i="8"/>
  <c r="E36" i="8"/>
  <c r="D36" i="8"/>
  <c r="F35" i="8"/>
  <c r="E35" i="8"/>
  <c r="D35" i="8"/>
  <c r="F34" i="8"/>
  <c r="E34" i="8"/>
  <c r="D34" i="8"/>
  <c r="F33" i="8"/>
  <c r="E33" i="8"/>
  <c r="D33" i="8"/>
  <c r="F31" i="8"/>
  <c r="E31" i="8"/>
  <c r="D31" i="8"/>
  <c r="F29" i="8"/>
  <c r="E29" i="8"/>
  <c r="D29" i="8"/>
  <c r="F27" i="8"/>
  <c r="E27" i="8"/>
  <c r="D27" i="8"/>
  <c r="F26" i="8"/>
  <c r="E26" i="8"/>
  <c r="D26" i="8"/>
  <c r="F25" i="8"/>
  <c r="E25" i="8"/>
  <c r="D25" i="8"/>
  <c r="F24" i="8"/>
  <c r="E24" i="8"/>
  <c r="D24" i="8"/>
  <c r="F23" i="8"/>
  <c r="E23" i="8"/>
  <c r="D23" i="8"/>
  <c r="F22" i="8"/>
  <c r="E22" i="8"/>
  <c r="D22" i="8"/>
  <c r="F21" i="8"/>
  <c r="E21" i="8"/>
  <c r="D21" i="8"/>
  <c r="F20" i="8"/>
  <c r="E20" i="8"/>
  <c r="D20" i="8"/>
  <c r="F19" i="8"/>
  <c r="E19" i="8"/>
  <c r="D19" i="8"/>
  <c r="F18" i="8"/>
  <c r="E18" i="8"/>
  <c r="D18" i="8"/>
  <c r="F17" i="8"/>
  <c r="E17" i="8"/>
  <c r="D17" i="8"/>
  <c r="F16" i="8"/>
  <c r="E16" i="8"/>
  <c r="D16" i="8"/>
  <c r="F15" i="8"/>
  <c r="E15" i="8"/>
  <c r="D15" i="8"/>
  <c r="F14" i="8"/>
  <c r="E14" i="8"/>
  <c r="D14" i="8"/>
  <c r="F12" i="8"/>
  <c r="E12" i="8"/>
  <c r="D12" i="8"/>
  <c r="F10" i="8"/>
  <c r="E10" i="8"/>
  <c r="D10" i="8"/>
  <c r="F9" i="8"/>
  <c r="E9" i="8"/>
  <c r="D9" i="8"/>
  <c r="F8" i="8"/>
  <c r="E8" i="8"/>
  <c r="D8" i="8"/>
  <c r="F7" i="8"/>
  <c r="E7" i="8"/>
  <c r="D7" i="8"/>
  <c r="F6" i="8"/>
  <c r="E6" i="8"/>
  <c r="D6" i="8"/>
  <c r="F5" i="8"/>
  <c r="E5" i="8"/>
  <c r="D5" i="8"/>
  <c r="H46" i="32"/>
  <c r="G46" i="32"/>
  <c r="F46" i="32"/>
  <c r="E46" i="32"/>
  <c r="D46" i="32"/>
  <c r="H45" i="32"/>
  <c r="G45" i="32"/>
  <c r="F45" i="32"/>
  <c r="E45" i="32"/>
  <c r="D45" i="32"/>
  <c r="H44" i="32"/>
  <c r="G44" i="32"/>
  <c r="F44" i="32"/>
  <c r="E44" i="32"/>
  <c r="D44" i="32"/>
  <c r="H43" i="32"/>
  <c r="G43" i="32"/>
  <c r="F43" i="32"/>
  <c r="E43" i="32"/>
  <c r="D43" i="32"/>
  <c r="H42" i="32"/>
  <c r="G42" i="32"/>
  <c r="F42" i="32"/>
  <c r="E42" i="32"/>
  <c r="D42" i="32"/>
  <c r="H41" i="32"/>
  <c r="G41" i="32"/>
  <c r="F41" i="32"/>
  <c r="E41" i="32"/>
  <c r="D41" i="32"/>
  <c r="H39" i="32"/>
  <c r="G39" i="32"/>
  <c r="F39" i="32"/>
  <c r="E39" i="32"/>
  <c r="D39" i="32"/>
  <c r="H38" i="32"/>
  <c r="G38" i="32"/>
  <c r="F38" i="32"/>
  <c r="E38" i="32"/>
  <c r="D38" i="32"/>
  <c r="H36" i="32"/>
  <c r="G36" i="32"/>
  <c r="F36" i="32"/>
  <c r="E36" i="32"/>
  <c r="D36" i="32"/>
  <c r="H35" i="32"/>
  <c r="G35" i="32"/>
  <c r="F35" i="32"/>
  <c r="E35" i="32"/>
  <c r="D35" i="32"/>
  <c r="H34" i="32"/>
  <c r="G34" i="32"/>
  <c r="F34" i="32"/>
  <c r="E34" i="32"/>
  <c r="D34" i="32"/>
  <c r="H33" i="32"/>
  <c r="G33" i="32"/>
  <c r="F33" i="32"/>
  <c r="E33" i="32"/>
  <c r="D33" i="32"/>
  <c r="H32" i="32"/>
  <c r="G32" i="32"/>
  <c r="F32" i="32"/>
  <c r="E32" i="32"/>
  <c r="D32" i="32"/>
  <c r="H31" i="32"/>
  <c r="G31" i="32"/>
  <c r="F31" i="32"/>
  <c r="E31" i="32"/>
  <c r="D31" i="32"/>
  <c r="H30" i="32"/>
  <c r="G30" i="32"/>
  <c r="F30" i="32"/>
  <c r="E30" i="32"/>
  <c r="D30" i="32"/>
  <c r="H29" i="32"/>
  <c r="G29" i="32"/>
  <c r="F29" i="32"/>
  <c r="E29" i="32"/>
  <c r="D29" i="32"/>
  <c r="H28" i="32"/>
  <c r="G28" i="32"/>
  <c r="F28" i="32"/>
  <c r="E28" i="32"/>
  <c r="D28" i="32"/>
  <c r="H27" i="32"/>
  <c r="G27" i="32"/>
  <c r="F27" i="32"/>
  <c r="E27" i="32"/>
  <c r="D27" i="32"/>
  <c r="H26" i="32"/>
  <c r="G26" i="32"/>
  <c r="F26" i="32"/>
  <c r="E26" i="32"/>
  <c r="D26" i="32"/>
  <c r="H25" i="32"/>
  <c r="G25" i="32"/>
  <c r="F25" i="32"/>
  <c r="E25" i="32"/>
  <c r="D25" i="32"/>
  <c r="H24" i="32"/>
  <c r="G24" i="32"/>
  <c r="F24" i="32"/>
  <c r="E24" i="32"/>
  <c r="D24" i="32"/>
  <c r="H23" i="32"/>
  <c r="G23" i="32"/>
  <c r="F23" i="32"/>
  <c r="E23" i="32"/>
  <c r="D23" i="32"/>
  <c r="H22" i="32"/>
  <c r="G22" i="32"/>
  <c r="F22" i="32"/>
  <c r="E22" i="32"/>
  <c r="D22" i="32"/>
  <c r="H21" i="32"/>
  <c r="G21" i="32"/>
  <c r="F21" i="32"/>
  <c r="E21" i="32"/>
  <c r="D21" i="32"/>
  <c r="H20" i="32"/>
  <c r="G20" i="32"/>
  <c r="F20" i="32"/>
  <c r="E20" i="32"/>
  <c r="D20" i="32"/>
  <c r="H19" i="32"/>
  <c r="G19" i="32"/>
  <c r="F19" i="32"/>
  <c r="E19" i="32"/>
  <c r="D19" i="32"/>
  <c r="H18" i="32"/>
  <c r="G18" i="32"/>
  <c r="F18" i="32"/>
  <c r="E18" i="32"/>
  <c r="D18" i="32"/>
  <c r="H17" i="32"/>
  <c r="G17" i="32"/>
  <c r="F17" i="32"/>
  <c r="E17" i="32"/>
  <c r="D17" i="32"/>
  <c r="H16" i="32"/>
  <c r="G16" i="32"/>
  <c r="F16" i="32"/>
  <c r="E16" i="32"/>
  <c r="D16" i="32"/>
  <c r="H15" i="32"/>
  <c r="G15" i="32"/>
  <c r="F15" i="32"/>
  <c r="E15" i="32"/>
  <c r="D15" i="32"/>
  <c r="H14" i="32"/>
  <c r="G14" i="32"/>
  <c r="F14" i="32"/>
  <c r="E14" i="32"/>
  <c r="D14" i="32"/>
  <c r="H13" i="32"/>
  <c r="G13" i="32"/>
  <c r="F13" i="32"/>
  <c r="E13" i="32"/>
  <c r="D13" i="32"/>
  <c r="H12" i="32"/>
  <c r="G12" i="32"/>
  <c r="F12" i="32"/>
  <c r="E12" i="32"/>
  <c r="D12" i="32"/>
  <c r="H11" i="32"/>
  <c r="G11" i="32"/>
  <c r="F11" i="32"/>
  <c r="E11" i="32"/>
  <c r="D11" i="32"/>
  <c r="H10" i="32"/>
  <c r="G10" i="32"/>
  <c r="F10" i="32"/>
  <c r="E10" i="32"/>
  <c r="D10" i="32"/>
  <c r="H9" i="32"/>
  <c r="G9" i="32"/>
  <c r="F9" i="32"/>
  <c r="E9" i="32"/>
  <c r="D9" i="32"/>
  <c r="H8" i="32"/>
  <c r="G8" i="32"/>
  <c r="F8" i="32"/>
  <c r="E8" i="32"/>
  <c r="D8" i="32"/>
  <c r="H7" i="32"/>
  <c r="G7" i="32"/>
  <c r="F7" i="32"/>
  <c r="E7" i="32"/>
  <c r="D7" i="32"/>
  <c r="H6" i="32"/>
  <c r="G6" i="32"/>
  <c r="F6" i="32"/>
  <c r="E6" i="32"/>
  <c r="D6" i="32"/>
  <c r="H5" i="32"/>
  <c r="G5" i="32"/>
  <c r="F5" i="32"/>
  <c r="E5" i="32"/>
  <c r="D5" i="32"/>
  <c r="L3" i="12"/>
  <c r="K3" i="12"/>
  <c r="J3" i="12" l="1"/>
  <c r="I3" i="12"/>
  <c r="H3" i="12"/>
  <c r="G3" i="12"/>
  <c r="A15" i="54" l="1"/>
  <c r="E2" i="53"/>
  <c r="D3" i="61" l="1"/>
  <c r="A18" i="54"/>
  <c r="A17" i="54"/>
  <c r="A16" i="54"/>
  <c r="F3" i="50"/>
  <c r="G3" i="50"/>
  <c r="G3" i="9"/>
  <c r="F3" i="9"/>
  <c r="F3" i="11" l="1"/>
  <c r="G3" i="32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O2" i="12"/>
  <c r="M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<sst xmlns="http://schemas.openxmlformats.org/spreadsheetml/2006/main" count="113" uniqueCount="97">
  <si>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</si>
  <si>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</si>
  <si>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</si>
  <si>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</si>
  <si>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</si>
  <si>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</si>
  <si>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</si>
  <si>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</si>
  <si>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</si>
  <si>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</si>
  <si>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</si>
  <si>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</si>
  <si>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</si>
  <si>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</si>
  <si>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</si>
  <si>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</si>
  <si>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</si>
  <si>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</si>
  <si>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</si>
  <si>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</si>
  <si>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</si>
  <si>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</si>
  <si>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</si>
  <si>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</si>
  <si>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</si>
  <si>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</si>
  <si>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</si>
  <si>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</si>
  <si>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</si>
  <si>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Gabinete do Secretário Regional do Turismo e Cultura</t>
  </si>
  <si>
    <t>Direção Regional da Cultura</t>
  </si>
  <si>
    <t>Direção Regional do Arquivo e Biblioteca da Madeira</t>
  </si>
  <si>
    <t>Direção Regional do Trabalho e Ação Inspetiva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</si>
  <si>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</si>
  <si>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</si>
  <si>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</si>
  <si>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</si>
  <si>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</si>
  <si>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</si>
  <si>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</si>
  <si>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</si>
  <si>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</si>
  <si>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</si>
  <si>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</si>
  <si>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</si>
  <si>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</si>
  <si>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</si>
  <si>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</si>
  <si>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</si>
  <si>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</si>
  <si>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</si>
  <si>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</si>
  <si>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</si>
  <si>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</si>
  <si>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</si>
  <si>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</si>
  <si>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</si>
  <si>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</si>
  <si>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</si>
  <si>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</si>
  <si>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</si>
  <si>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</si>
  <si>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</si>
  <si>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</si>
  <si>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</si>
  <si>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</si>
  <si>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</si>
  <si>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</si>
  <si>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</si>
  <si>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</si>
  <si>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</si>
  <si>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</si>
  <si>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</si>
  <si>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</si>
  <si>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</si>
  <si>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</si>
  <si>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</si>
  <si>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Gabinete do Secretário Regional dos Equipamentos Infraestruturas</t>
  </si>
  <si>
    <t>Direção Regional de Planeamento, Recursos e Infraestruturas</t>
  </si>
  <si>
    <t>Direção Regional dos Assuntos Sociais</t>
  </si>
  <si>
    <t>Instituto das Florestas e Conservação da Natureza, IP-RAM</t>
  </si>
  <si>
    <t>CARAM -Centro de Abate da Região Autónoma da Madeira, EPERAM</t>
  </si>
  <si>
    <t>EHTM-Escola de Hotelaria e Turismo da Madeira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</si>
  <si>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</si>
  <si>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</si>
  <si>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</si>
  <si>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</si>
  <si>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</si>
  <si>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</si>
  <si>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</si>
  <si>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Economia, Turismo e Cultura</t>
  </si>
  <si>
    <t>Secretaria Regional de Agricultura, Pescas e Ambiente</t>
  </si>
  <si>
    <t>Secretaria Regional de Inclusão, Trabalho e Juventude</t>
  </si>
  <si>
    <t>Gabinete do Secretário e Serviços Dependentes-SRS</t>
  </si>
  <si>
    <t>Gabinete da Secretária Regional</t>
  </si>
  <si>
    <t>Direção Regional de Pescas</t>
  </si>
  <si>
    <t>Instituto do Vinho, do Bordado e do Artesanato da Madeira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</si>
</sst>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3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4" fillId="0" borderId="25" xfId="62" applyFont="1" applyBorder="1" applyAlignment="1">
      <alignment horizontal="center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21" xfId="62" applyFont="1" applyBorder="1" applyAlignment="1">
      <alignment horizontal="center" vertic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12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adeiragov-my.sharepoint.com/personal/hugo_costa_madeira_gov_pt/Documents/Documentos/DROC/Pagamentos%20em%20atraso/2024/Novembro/MPA_Novembro_2024.xlsx" TargetMode="External"/><Relationship Id="rId1" Type="http://schemas.openxmlformats.org/officeDocument/2006/relationships/externalLinkPath" Target="https://madeiragov-my.sharepoint.com/personal/hugo_costa_madeira_gov_pt/Documents/Documentos/DROC/Pagamentos%20em%20atraso/2024/Novembro/MPA_Novembro_2024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ugo.costa\Disco\Boletim%20mensal\2024\Novembro\Novembro_2024.xlsx" TargetMode="External"/><Relationship Id="rId1" Type="http://schemas.openxmlformats.org/officeDocument/2006/relationships/externalLinkPath" Target="Novembro_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Regional-Accounts"/>
      <sheetName val="Caderno_SIGO"/>
      <sheetName val="RESUMO_Info"/>
      <sheetName val="SIGO_vs_MPA"/>
      <sheetName val="PMP"/>
      <sheetName val="RAM_CP (REPORTE)"/>
      <sheetName val="Folha1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ODES"/>
      <sheetName val="DOREC"/>
      <sheetName val="R_SFA"/>
      <sheetName val="D_SFA"/>
      <sheetName val="MPA"/>
      <sheetName val="GR"/>
      <sheetName val="SFA"/>
      <sheetName val="EPR"/>
      <sheetName val="ALM"/>
      <sheetName val="PGR"/>
      <sheetName val="SRE"/>
      <sheetName val="SRF"/>
      <sheetName val="SRS"/>
      <sheetName val="SRETC"/>
      <sheetName val="SRMAR"/>
      <sheetName val="SREM"/>
      <sheetName val="SRAAC"/>
      <sheetName val="SRAPA"/>
      <sheetName val="SREI"/>
      <sheetName val="SRITJ"/>
      <sheetName val="MPA_Novembro_2024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CT1">
            <v>45597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AD5">
            <v>17166368.530000001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solid"/>
      <sheetName val="ORG_n1"/>
      <sheetName val="CF"/>
      <sheetName val="Adm R"/>
      <sheetName val="Corresp_Org"/>
      <sheetName val="ORAM_2024"/>
      <sheetName val="Análise"/>
      <sheetName val="DGO_N_Covid"/>
      <sheetName val="DGO__N1"/>
      <sheetName val="DGO_N"/>
      <sheetName val="REC N1"/>
      <sheetName val="DOREC"/>
      <sheetName val="Desp_N1"/>
      <sheetName val="UKR"/>
      <sheetName val="DODES"/>
      <sheetName val="Síntese Global"/>
      <sheetName val="D_SFA"/>
      <sheetName val="R_SFA"/>
      <sheetName val="RAM_CP (REPORTE)"/>
      <sheetName val="Caderno_SIGO"/>
      <sheetName val="GOV mensal-acumulado"/>
      <sheetName val="COVID"/>
      <sheetName val="Consolidado_Q1"/>
      <sheetName val="GRF"/>
      <sheetName val="Global_Est_Q2_3"/>
      <sheetName val="R_Est_Q4_5"/>
      <sheetName val="D_Est ECO_Q6"/>
      <sheetName val="D_Est_Func_Q7"/>
      <sheetName val="D_Est_Org_Q8"/>
      <sheetName val="Saldo_Global EPR_Q9"/>
      <sheetName val="SFA acumulado_Q10_11"/>
      <sheetName val="SFA+EPR mensal-acumulado_Q12"/>
      <sheetName val="Gov+SFA+EPR_Q13_14"/>
      <sheetName val="Compromissos_Q15_16_17_18"/>
      <sheetName val="Orgânica"/>
      <sheetName val="Pagamentos_Atraso (SI)"/>
      <sheetName val="Pagamentos_Atraso (SFA_EPR)"/>
      <sheetName val="Gloss"/>
      <sheetName val="Gloss_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67">
          <cell r="M67">
            <v>1401117.1141300001</v>
          </cell>
          <cell r="N67">
            <v>529200.37196000002</v>
          </cell>
          <cell r="O67">
            <v>379280.65918999992</v>
          </cell>
          <cell r="P67">
            <v>1504222.5989799998</v>
          </cell>
          <cell r="R67">
            <v>11.001763947920495</v>
          </cell>
        </row>
        <row r="68">
          <cell r="M68">
            <v>426326.21333</v>
          </cell>
          <cell r="N68">
            <v>0</v>
          </cell>
          <cell r="O68">
            <v>0</v>
          </cell>
          <cell r="P68">
            <v>426326.21333</v>
          </cell>
          <cell r="R68">
            <v>13.327855799651367</v>
          </cell>
        </row>
        <row r="69">
          <cell r="M69">
            <v>712859.03272000013</v>
          </cell>
          <cell r="N69">
            <v>0</v>
          </cell>
          <cell r="O69">
            <v>0</v>
          </cell>
          <cell r="P69">
            <v>712859.03272000013</v>
          </cell>
          <cell r="R69">
            <v>10.932456919385803</v>
          </cell>
        </row>
        <row r="70"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</row>
        <row r="71">
          <cell r="M71">
            <v>261931.86807999999</v>
          </cell>
          <cell r="N71">
            <v>529200.37196000002</v>
          </cell>
          <cell r="O71">
            <v>379280.65918999992</v>
          </cell>
          <cell r="P71">
            <v>356962.2081899998</v>
          </cell>
          <cell r="R71">
            <v>9.9964008220710063</v>
          </cell>
        </row>
        <row r="72">
          <cell r="M72">
            <v>215662.24631000002</v>
          </cell>
          <cell r="N72">
            <v>518944.12167000002</v>
          </cell>
          <cell r="O72">
            <v>337388.85441999993</v>
          </cell>
          <cell r="P72">
            <v>258548.85432000004</v>
          </cell>
          <cell r="R72">
            <v>9.1012588112056925</v>
          </cell>
        </row>
        <row r="73">
          <cell r="M73">
            <v>210631.321</v>
          </cell>
          <cell r="N73">
            <v>1513.9232999999999</v>
          </cell>
          <cell r="O73">
            <v>10.290649999999999</v>
          </cell>
          <cell r="P73">
            <v>212155.53495</v>
          </cell>
          <cell r="R73">
            <v>7.9066847429690723</v>
          </cell>
        </row>
        <row r="74">
          <cell r="M74">
            <v>0</v>
          </cell>
          <cell r="N74">
            <v>479931.29892000003</v>
          </cell>
          <cell r="O74">
            <v>333515.06916000001</v>
          </cell>
          <cell r="P74">
            <v>0</v>
          </cell>
          <cell r="R74">
            <v>0</v>
          </cell>
        </row>
        <row r="75">
          <cell r="P75">
            <v>8075.1447399999797</v>
          </cell>
        </row>
        <row r="76">
          <cell r="M76">
            <v>143678.50318</v>
          </cell>
          <cell r="N76">
            <v>7261.2279800000015</v>
          </cell>
          <cell r="O76">
            <v>62211.808590000001</v>
          </cell>
          <cell r="P76">
            <v>193789.78231000001</v>
          </cell>
          <cell r="R76">
            <v>88.629668429722358</v>
          </cell>
        </row>
        <row r="77">
          <cell r="M77">
            <v>1561.5444399999997</v>
          </cell>
          <cell r="N77">
            <v>0</v>
          </cell>
          <cell r="O77">
            <v>881.47902999999997</v>
          </cell>
          <cell r="P77">
            <v>2443.0234699999996</v>
          </cell>
          <cell r="R77">
            <v>-70.062329679820735</v>
          </cell>
        </row>
        <row r="78">
          <cell r="M78">
            <v>135231.11194</v>
          </cell>
          <cell r="N78">
            <v>7217.1768100000018</v>
          </cell>
          <cell r="O78">
            <v>60587.598060000004</v>
          </cell>
          <cell r="P78">
            <v>183674.12937000001</v>
          </cell>
          <cell r="R78">
            <v>102.88862069838478</v>
          </cell>
        </row>
        <row r="79">
          <cell r="M79">
            <v>122139.15517</v>
          </cell>
          <cell r="N79">
            <v>41.051360000000003</v>
          </cell>
          <cell r="O79">
            <v>0</v>
          </cell>
          <cell r="P79">
            <v>122180.20653</v>
          </cell>
          <cell r="R79">
            <v>130.55911070857192</v>
          </cell>
        </row>
        <row r="80">
          <cell r="M80">
            <v>0</v>
          </cell>
          <cell r="N80">
            <v>2309.5038999999992</v>
          </cell>
          <cell r="O80">
            <v>17052.253539999998</v>
          </cell>
          <cell r="P80">
            <v>0</v>
          </cell>
          <cell r="R80">
            <v>0</v>
          </cell>
        </row>
        <row r="81">
          <cell r="P81">
            <v>0</v>
          </cell>
        </row>
        <row r="82">
          <cell r="M82">
            <v>1544795.6173100004</v>
          </cell>
          <cell r="N82">
            <v>536461.59993999999</v>
          </cell>
          <cell r="O82">
            <v>441492.46777999995</v>
          </cell>
          <cell r="P82">
            <v>1698012.3812899997</v>
          </cell>
          <cell r="R82">
            <v>16.47217643225083</v>
          </cell>
        </row>
        <row r="83">
          <cell r="M83">
            <v>1295693.2647100003</v>
          </cell>
          <cell r="N83">
            <v>510417.79899999971</v>
          </cell>
          <cell r="O83">
            <v>372588.15349000017</v>
          </cell>
          <cell r="P83">
            <v>1373327.9938600003</v>
          </cell>
          <cell r="R83">
            <v>9.3785667032525222</v>
          </cell>
        </row>
        <row r="84">
          <cell r="M84">
            <v>591833.24907999986</v>
          </cell>
          <cell r="N84">
            <v>146071.48642999999</v>
          </cell>
          <cell r="O84">
            <v>358976.34212000016</v>
          </cell>
          <cell r="P84">
            <v>1096881.0776300002</v>
          </cell>
          <cell r="R84">
            <v>8.7333349408975192</v>
          </cell>
        </row>
        <row r="85">
          <cell r="M85">
            <v>433817.66858999996</v>
          </cell>
          <cell r="N85">
            <v>53851.478440000035</v>
          </cell>
          <cell r="O85">
            <v>241027.01085000005</v>
          </cell>
          <cell r="P85">
            <v>728696.15788000007</v>
          </cell>
          <cell r="R85">
            <v>5.4312286960829903</v>
          </cell>
        </row>
        <row r="86">
          <cell r="M86">
            <v>158015.58048999991</v>
          </cell>
          <cell r="N86">
            <v>92220.007989999955</v>
          </cell>
          <cell r="O86">
            <v>117949.33127000011</v>
          </cell>
          <cell r="P86">
            <v>368184.91975</v>
          </cell>
          <cell r="R86">
            <v>15.918822093878248</v>
          </cell>
        </row>
        <row r="87">
          <cell r="M87">
            <v>28402.098770000001</v>
          </cell>
          <cell r="N87">
            <v>5713.1233999999995</v>
          </cell>
          <cell r="O87">
            <v>0</v>
          </cell>
          <cell r="P87">
            <v>34110.899210000003</v>
          </cell>
          <cell r="R87">
            <v>39.101549016035932</v>
          </cell>
        </row>
        <row r="88">
          <cell r="M88">
            <v>118160.18909000001</v>
          </cell>
          <cell r="N88">
            <v>21.346550000000001</v>
          </cell>
          <cell r="O88">
            <v>1510.9843000000001</v>
          </cell>
          <cell r="P88">
            <v>119692.51994000001</v>
          </cell>
          <cell r="R88">
            <v>12.064697805520176</v>
          </cell>
        </row>
        <row r="89">
          <cell r="M89">
            <v>557297.72777000035</v>
          </cell>
          <cell r="N89">
            <v>358611.84261999972</v>
          </cell>
          <cell r="O89">
            <v>12100.827069999996</v>
          </cell>
          <cell r="P89">
            <v>122643.49708000012</v>
          </cell>
          <cell r="R89">
            <v>6.2184750569840519</v>
          </cell>
        </row>
        <row r="90">
          <cell r="M90">
            <v>117.78400000000001</v>
          </cell>
          <cell r="N90">
            <v>2331.5140200000001</v>
          </cell>
          <cell r="O90">
            <v>0</v>
          </cell>
          <cell r="P90">
            <v>2449.2980200000002</v>
          </cell>
          <cell r="R90">
            <v>4.6012193053649231</v>
          </cell>
        </row>
        <row r="91">
          <cell r="M91">
            <v>483255.59164000012</v>
          </cell>
          <cell r="N91">
            <v>322111.30873999995</v>
          </cell>
          <cell r="O91">
            <v>0</v>
          </cell>
          <cell r="P91">
            <v>0</v>
          </cell>
          <cell r="R91">
            <v>0</v>
          </cell>
        </row>
        <row r="92">
          <cell r="P92">
            <v>0</v>
          </cell>
        </row>
        <row r="93">
          <cell r="M93">
            <v>132340.94716000001</v>
          </cell>
          <cell r="N93">
            <v>4258.9982300000001</v>
          </cell>
          <cell r="O93">
            <v>61932.388779999994</v>
          </cell>
          <cell r="P93">
            <v>179170.57672999997</v>
          </cell>
          <cell r="R93">
            <v>14.309509478114336</v>
          </cell>
        </row>
        <row r="94">
          <cell r="M94">
            <v>92478.822480000017</v>
          </cell>
          <cell r="N94">
            <v>1710.4326000000003</v>
          </cell>
          <cell r="O94">
            <v>58872.823489999995</v>
          </cell>
          <cell r="P94">
            <v>153062.07857000001</v>
          </cell>
          <cell r="R94">
            <v>23.213392692091261</v>
          </cell>
        </row>
        <row r="95">
          <cell r="M95">
            <v>39862.124679999994</v>
          </cell>
          <cell r="N95">
            <v>2548.5656299999996</v>
          </cell>
          <cell r="O95">
            <v>3059.56529</v>
          </cell>
          <cell r="P95">
            <v>24424.798819999985</v>
          </cell>
          <cell r="R95">
            <v>-24.865656272115512</v>
          </cell>
        </row>
        <row r="96">
          <cell r="M96">
            <v>11392.085159999999</v>
          </cell>
          <cell r="N96">
            <v>0.83492000000000011</v>
          </cell>
          <cell r="O96">
            <v>0</v>
          </cell>
          <cell r="P96">
            <v>11392.920079999998</v>
          </cell>
          <cell r="R96">
            <v>70.325307952574462</v>
          </cell>
        </row>
        <row r="97">
          <cell r="M97">
            <v>18290.456780000004</v>
          </cell>
          <cell r="N97">
            <v>0</v>
          </cell>
          <cell r="O97">
            <v>2755</v>
          </cell>
          <cell r="P97">
            <v>0</v>
          </cell>
          <cell r="R97">
            <v>0</v>
          </cell>
        </row>
        <row r="98"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</row>
        <row r="100">
          <cell r="M100">
            <v>1428034.2118700002</v>
          </cell>
          <cell r="N100">
            <v>514676.79722999968</v>
          </cell>
          <cell r="O100">
            <v>434520.54227000015</v>
          </cell>
          <cell r="P100">
            <v>1552498.5705900001</v>
          </cell>
          <cell r="R100">
            <v>9.9258129226442939</v>
          </cell>
        </row>
        <row r="101">
          <cell r="M101">
            <v>116761.40544000012</v>
          </cell>
          <cell r="N101">
            <v>21784.802710000309</v>
          </cell>
          <cell r="O101">
            <v>6971.9255099997972</v>
          </cell>
          <cell r="P101">
            <v>145513.81069999957</v>
          </cell>
          <cell r="R101">
            <v>219.42657883341985</v>
          </cell>
        </row>
        <row r="103">
          <cell r="M103">
            <v>105423.84941999987</v>
          </cell>
          <cell r="N103">
            <v>18782.572960000311</v>
          </cell>
          <cell r="O103">
            <v>6692.5056999997469</v>
          </cell>
          <cell r="P103">
            <v>130894.6051199995</v>
          </cell>
          <cell r="R103">
            <v>31.472112386962326</v>
          </cell>
        </row>
        <row r="104">
          <cell r="M104">
            <v>1177533.0756200003</v>
          </cell>
          <cell r="N104">
            <v>510396.45244999969</v>
          </cell>
          <cell r="O104">
            <v>371077.16919000016</v>
          </cell>
          <cell r="P104">
            <v>1253635.4739200003</v>
          </cell>
          <cell r="R104">
            <v>9.1288235492000815</v>
          </cell>
        </row>
        <row r="105">
          <cell r="M105">
            <v>223584.03850999987</v>
          </cell>
          <cell r="N105">
            <v>18803.919510000327</v>
          </cell>
          <cell r="O105">
            <v>8203.4899999997579</v>
          </cell>
          <cell r="P105">
            <v>250587.12505999953</v>
          </cell>
          <cell r="R105">
            <v>21.4276925247066</v>
          </cell>
        </row>
        <row r="106">
          <cell r="M106">
            <v>11337.556019999989</v>
          </cell>
          <cell r="N106">
            <v>3002.2297500000013</v>
          </cell>
          <cell r="O106">
            <v>279.41981000000669</v>
          </cell>
          <cell r="P106">
            <v>14619.205580000038</v>
          </cell>
          <cell r="R106">
            <v>127.0695748230286</v>
          </cell>
        </row>
        <row r="107">
          <cell r="M107">
            <v>1309874.0227800002</v>
          </cell>
          <cell r="N107">
            <v>514655.45067999966</v>
          </cell>
          <cell r="O107">
            <v>433009.55797000014</v>
          </cell>
          <cell r="P107">
            <v>1432806.0506500001</v>
          </cell>
          <cell r="R107">
            <v>9.7508258414445095</v>
          </cell>
        </row>
        <row r="108">
          <cell r="M108">
            <v>234921.59453000012</v>
          </cell>
          <cell r="N108">
            <v>21806.149260000326</v>
          </cell>
          <cell r="O108">
            <v>8482.9098099998082</v>
          </cell>
          <cell r="P108">
            <v>265206.33063999959</v>
          </cell>
          <cell r="R108">
            <v>74.064079606633925</v>
          </cell>
        </row>
      </sheetData>
      <sheetData sheetId="23"/>
      <sheetData sheetId="24">
        <row r="8">
          <cell r="D8">
            <v>1254279.5096600002</v>
          </cell>
          <cell r="E8">
            <v>1401117.1141300001</v>
          </cell>
          <cell r="F8">
            <v>11.706928426966279</v>
          </cell>
        </row>
        <row r="9">
          <cell r="D9">
            <v>1018794.7382000001</v>
          </cell>
          <cell r="E9">
            <v>1139185.2460500002</v>
          </cell>
          <cell r="F9">
            <v>11.816954224037834</v>
          </cell>
        </row>
        <row r="10">
          <cell r="D10">
            <v>376188.36985999998</v>
          </cell>
          <cell r="E10">
            <v>426326.21333</v>
          </cell>
          <cell r="F10">
            <v>13.327855799651388</v>
          </cell>
        </row>
        <row r="11">
          <cell r="D11">
            <v>642606.36834000016</v>
          </cell>
          <cell r="E11">
            <v>712859.03272000013</v>
          </cell>
          <cell r="F11">
            <v>10.93245691938578</v>
          </cell>
        </row>
        <row r="12">
          <cell r="D12">
            <v>235484.77146000002</v>
          </cell>
          <cell r="E12">
            <v>261931.86807999999</v>
          </cell>
          <cell r="F12">
            <v>11.230915891515437</v>
          </cell>
        </row>
        <row r="13">
          <cell r="D13">
            <v>75776.029670000018</v>
          </cell>
          <cell r="E13">
            <v>143678.50318</v>
          </cell>
          <cell r="F13">
            <v>89.609436923141942</v>
          </cell>
        </row>
        <row r="15">
          <cell r="D15">
            <v>1330055.5393300003</v>
          </cell>
          <cell r="E15">
            <v>1544795.6173100001</v>
          </cell>
          <cell r="F15">
            <v>16.145196319258414</v>
          </cell>
        </row>
        <row r="17">
          <cell r="D17">
            <v>1164296.2886000003</v>
          </cell>
          <cell r="E17">
            <v>1295693.2647100003</v>
          </cell>
          <cell r="F17">
            <v>11.28552735214825</v>
          </cell>
        </row>
        <row r="18">
          <cell r="D18">
            <v>407387.95296000008</v>
          </cell>
          <cell r="E18">
            <v>433817.66859000031</v>
          </cell>
          <cell r="F18">
            <v>6.4876036313708196</v>
          </cell>
        </row>
        <row r="19">
          <cell r="D19">
            <v>151997.98733000027</v>
          </cell>
          <cell r="E19">
            <v>157108.30921999991</v>
          </cell>
          <cell r="F19">
            <v>3.3620983933851045</v>
          </cell>
        </row>
        <row r="20">
          <cell r="D20">
            <v>100503.12182000003</v>
          </cell>
          <cell r="E20">
            <v>118160.18909000001</v>
          </cell>
          <cell r="F20">
            <v>17.568675430424531</v>
          </cell>
        </row>
        <row r="21">
          <cell r="D21">
            <v>484100.17851999984</v>
          </cell>
          <cell r="E21">
            <v>557297.72777000011</v>
          </cell>
          <cell r="F21">
            <v>15.120330976489459</v>
          </cell>
        </row>
        <row r="22">
          <cell r="D22">
            <v>410663.08611999988</v>
          </cell>
          <cell r="E22">
            <v>483373.3756400001</v>
          </cell>
          <cell r="F22">
            <v>17.705582015412389</v>
          </cell>
        </row>
        <row r="23">
          <cell r="D23">
            <v>73437.092399999965</v>
          </cell>
          <cell r="E23">
            <v>73924.35212999997</v>
          </cell>
          <cell r="F23">
            <v>0.66350629372140535</v>
          </cell>
        </row>
        <row r="24">
          <cell r="D24">
            <v>19473.053340000002</v>
          </cell>
          <cell r="E24">
            <v>28402.098770000001</v>
          </cell>
          <cell r="F24">
            <v>45.853340378104249</v>
          </cell>
        </row>
        <row r="25">
          <cell r="D25">
            <v>833.99463000000026</v>
          </cell>
          <cell r="E25">
            <v>907.2712700000003</v>
          </cell>
          <cell r="F25">
            <v>8.7862244388791755</v>
          </cell>
        </row>
        <row r="26">
          <cell r="D26">
            <v>128465.86049999997</v>
          </cell>
          <cell r="E26">
            <v>132340.94716000001</v>
          </cell>
          <cell r="F26">
            <v>3.0164330390330063</v>
          </cell>
        </row>
        <row r="27">
          <cell r="D27">
            <v>87509.88787999998</v>
          </cell>
          <cell r="E27">
            <v>92478.822480000017</v>
          </cell>
          <cell r="F27">
            <v>5.6781407454364441</v>
          </cell>
        </row>
        <row r="28">
          <cell r="D28">
            <v>40955.972619999986</v>
          </cell>
          <cell r="E28">
            <v>39862.124680000001</v>
          </cell>
          <cell r="F28">
            <v>-2.6707898018904053</v>
          </cell>
        </row>
        <row r="29">
          <cell r="D29">
            <v>34920.101249999985</v>
          </cell>
          <cell r="E29">
            <v>29682.541940000003</v>
          </cell>
          <cell r="F29">
            <v>-14.998694512662636</v>
          </cell>
        </row>
        <row r="30">
          <cell r="D30">
            <v>6035.8713699999998</v>
          </cell>
          <cell r="E30">
            <v>10179.58274</v>
          </cell>
          <cell r="F30">
            <v>68.651419422147171</v>
          </cell>
        </row>
        <row r="33">
          <cell r="D33">
            <v>1292762.1491000003</v>
          </cell>
          <cell r="E33">
            <v>1428034.2118700002</v>
          </cell>
          <cell r="F33">
            <v>10.46380131597866</v>
          </cell>
        </row>
        <row r="35">
          <cell r="D35">
            <v>37293.390229999946</v>
          </cell>
          <cell r="E35">
            <v>116761.40543999986</v>
          </cell>
          <cell r="F35">
            <v>213.08873963964103</v>
          </cell>
        </row>
        <row r="37">
          <cell r="D37">
            <v>89983.221059999894</v>
          </cell>
          <cell r="E37">
            <v>105423.84941999987</v>
          </cell>
          <cell r="F37">
            <v>17.159452815880339</v>
          </cell>
        </row>
        <row r="38">
          <cell r="D38">
            <v>-52689.830829999948</v>
          </cell>
          <cell r="E38">
            <v>11337.556019999989</v>
          </cell>
          <cell r="F38">
            <v>121.51754112967228</v>
          </cell>
        </row>
        <row r="39">
          <cell r="D39">
            <v>137796.51204999996</v>
          </cell>
          <cell r="E39">
            <v>234921.59452999989</v>
          </cell>
          <cell r="F39">
            <v>70.484427388668408</v>
          </cell>
        </row>
        <row r="40">
          <cell r="D40">
            <v>24512.518009999996</v>
          </cell>
          <cell r="E40">
            <v>14258.04883</v>
          </cell>
          <cell r="F40">
            <v>-41.833601818534675</v>
          </cell>
        </row>
        <row r="54">
          <cell r="D54">
            <v>2023</v>
          </cell>
          <cell r="E54">
            <v>2024</v>
          </cell>
          <cell r="F54" t="str">
            <v>VH (%)</v>
          </cell>
        </row>
        <row r="56">
          <cell r="D56">
            <v>96920.94215000009</v>
          </cell>
          <cell r="E56">
            <v>107425.92098000027</v>
          </cell>
          <cell r="F56">
            <v>10.838708948724518</v>
          </cell>
        </row>
        <row r="57">
          <cell r="D57">
            <v>87094.128250000067</v>
          </cell>
          <cell r="E57">
            <v>94505.06516000026</v>
          </cell>
          <cell r="F57">
            <v>8.5091119905665877</v>
          </cell>
        </row>
        <row r="58">
          <cell r="D58">
            <v>25827.43451000005</v>
          </cell>
          <cell r="E58">
            <v>24682.636949999989</v>
          </cell>
          <cell r="F58">
            <v>-4.4324865466479402</v>
          </cell>
        </row>
        <row r="59">
          <cell r="D59">
            <v>61266.69374000001</v>
          </cell>
          <cell r="E59">
            <v>69822.428210000275</v>
          </cell>
          <cell r="F59">
            <v>13.964739971620777</v>
          </cell>
        </row>
        <row r="60">
          <cell r="D60">
            <v>9826.813900000021</v>
          </cell>
          <cell r="E60">
            <v>12920.855820000012</v>
          </cell>
          <cell r="F60">
            <v>31.485707895617978</v>
          </cell>
        </row>
        <row r="61">
          <cell r="D61">
            <v>914.81437000001074</v>
          </cell>
          <cell r="E61">
            <v>16673.724740000016</v>
          </cell>
          <cell r="F61">
            <v>1722.6347646900017</v>
          </cell>
        </row>
        <row r="63">
          <cell r="D63">
            <v>97835.756520000097</v>
          </cell>
          <cell r="E63">
            <v>124099.64572000029</v>
          </cell>
          <cell r="F63">
            <v>26.844877715675651</v>
          </cell>
        </row>
        <row r="65">
          <cell r="D65">
            <v>133626.08527000019</v>
          </cell>
          <cell r="E65">
            <v>187897.87553000063</v>
          </cell>
          <cell r="F65">
            <v>40.614667525686144</v>
          </cell>
        </row>
        <row r="66">
          <cell r="D66">
            <v>56445.899699999987</v>
          </cell>
          <cell r="E66">
            <v>58331.666890000823</v>
          </cell>
          <cell r="F66">
            <v>3.3408399901912356</v>
          </cell>
        </row>
        <row r="67">
          <cell r="D67">
            <v>12456.29878000003</v>
          </cell>
          <cell r="E67">
            <v>15434.443829999804</v>
          </cell>
          <cell r="F67">
            <v>23.908747715505307</v>
          </cell>
        </row>
        <row r="68">
          <cell r="D68">
            <v>14011.38721999997</v>
          </cell>
          <cell r="E68">
            <v>24322.523270000027</v>
          </cell>
          <cell r="F68">
            <v>73.591114770433691</v>
          </cell>
        </row>
        <row r="69">
          <cell r="D69">
            <v>49562.0472300002</v>
          </cell>
          <cell r="E69">
            <v>85655.313139999984</v>
          </cell>
          <cell r="F69">
            <v>72.824404816256887</v>
          </cell>
        </row>
        <row r="70">
          <cell r="D70">
            <v>1099.9539000000022</v>
          </cell>
          <cell r="E70">
            <v>4077.2053800000026</v>
          </cell>
          <cell r="F70">
            <v>270.67056901202807</v>
          </cell>
        </row>
        <row r="71">
          <cell r="D71">
            <v>50.498440000000059</v>
          </cell>
          <cell r="E71">
            <v>76.723019999999792</v>
          </cell>
          <cell r="F71">
            <v>51.931465605669615</v>
          </cell>
        </row>
        <row r="72">
          <cell r="D72">
            <v>17840.977329999998</v>
          </cell>
          <cell r="E72">
            <v>17598.831349999975</v>
          </cell>
          <cell r="F72">
            <v>-1.3572461615813491</v>
          </cell>
        </row>
        <row r="73">
          <cell r="D73">
            <v>14584.716129999995</v>
          </cell>
          <cell r="E73">
            <v>8309.734439999982</v>
          </cell>
          <cell r="F73">
            <v>-43.024366289123073</v>
          </cell>
        </row>
        <row r="74">
          <cell r="D74">
            <v>3256.2612000000031</v>
          </cell>
          <cell r="E74">
            <v>9289.0969099999929</v>
          </cell>
          <cell r="F74">
            <v>185.26878955533371</v>
          </cell>
        </row>
        <row r="79">
          <cell r="D79">
            <v>151467.06260000018</v>
          </cell>
          <cell r="E79">
            <v>205496.70688000059</v>
          </cell>
          <cell r="F79">
            <v>35.670886694808289</v>
          </cell>
        </row>
        <row r="81">
          <cell r="D81">
            <v>-53631.306080000082</v>
          </cell>
          <cell r="E81">
            <v>-81397.061160000303</v>
          </cell>
          <cell r="F81">
            <v>-51.771543729669659</v>
          </cell>
        </row>
        <row r="83">
          <cell r="D83">
            <v>-36705.143120000095</v>
          </cell>
          <cell r="E83">
            <v>-80471.954550000359</v>
          </cell>
          <cell r="F83">
            <v>-119.23890689354751</v>
          </cell>
        </row>
        <row r="84">
          <cell r="D84">
            <v>-16926.162959999987</v>
          </cell>
          <cell r="E84">
            <v>-925.10660999995889</v>
          </cell>
          <cell r="F84">
            <v>94.534457619330638</v>
          </cell>
        </row>
        <row r="85">
          <cell r="D85">
            <v>-39619.918860000114</v>
          </cell>
          <cell r="E85">
            <v>-57074.537890000276</v>
          </cell>
          <cell r="F85">
            <v>-44.05516097011035</v>
          </cell>
        </row>
      </sheetData>
      <sheetData sheetId="25">
        <row r="167">
          <cell r="E167">
            <v>1018794.7382000001</v>
          </cell>
          <cell r="F167">
            <v>1139185.2460500002</v>
          </cell>
          <cell r="G167">
            <v>0.91613629965853494</v>
          </cell>
          <cell r="H167">
            <v>0.11816954224037834</v>
          </cell>
        </row>
        <row r="169">
          <cell r="E169">
            <v>376188.36985999998</v>
          </cell>
          <cell r="F169">
            <v>426326.21333</v>
          </cell>
          <cell r="G169">
            <v>0.92833247186778467</v>
          </cell>
          <cell r="H169">
            <v>0.13327855799651389</v>
          </cell>
        </row>
        <row r="170">
          <cell r="E170">
            <v>209523.47100999998</v>
          </cell>
          <cell r="F170">
            <v>219834.00641</v>
          </cell>
          <cell r="G170">
            <v>0.92343266894271481</v>
          </cell>
          <cell r="H170">
            <v>4.9209453004469994E-2</v>
          </cell>
        </row>
        <row r="171">
          <cell r="E171">
            <v>166664.89885</v>
          </cell>
          <cell r="F171">
            <v>206492.20692000003</v>
          </cell>
          <cell r="G171">
            <v>0.93360632916203845</v>
          </cell>
          <cell r="H171">
            <v>0.23896638311252927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E173">
            <v>642606.36834000016</v>
          </cell>
          <cell r="F173">
            <v>712859.03272000013</v>
          </cell>
          <cell r="G173">
            <v>0.9089943045562634</v>
          </cell>
          <cell r="H173">
            <v>0.1093245691938578</v>
          </cell>
        </row>
        <row r="174">
          <cell r="E174">
            <v>34339.11032</v>
          </cell>
          <cell r="F174">
            <v>34545.989719999998</v>
          </cell>
          <cell r="G174">
            <v>0.71970811916666666</v>
          </cell>
          <cell r="H174">
            <v>6.0245998825283475E-3</v>
          </cell>
        </row>
        <row r="175">
          <cell r="E175">
            <v>504963.83023999998</v>
          </cell>
          <cell r="F175">
            <v>570101.51676999999</v>
          </cell>
          <cell r="G175">
            <v>0.94696833589653873</v>
          </cell>
          <cell r="H175">
            <v>0.1289947569097003</v>
          </cell>
        </row>
        <row r="176">
          <cell r="E176">
            <v>6269.7534900000001</v>
          </cell>
          <cell r="F176">
            <v>6020.0795199999993</v>
          </cell>
          <cell r="G176">
            <v>0.79916096110447354</v>
          </cell>
          <cell r="H176">
            <v>-3.9821975520763386E-2</v>
          </cell>
        </row>
        <row r="177">
          <cell r="E177">
            <v>35982.681969999998</v>
          </cell>
          <cell r="F177">
            <v>35087.512189999994</v>
          </cell>
          <cell r="G177">
            <v>0.75641543414199475</v>
          </cell>
          <cell r="H177">
            <v>-2.4877794844373691E-2</v>
          </cell>
        </row>
        <row r="178">
          <cell r="E178">
            <v>8024.7762099999991</v>
          </cell>
          <cell r="F178">
            <v>10122.663350000001</v>
          </cell>
          <cell r="G178">
            <v>0.78922170546479575</v>
          </cell>
          <cell r="H178">
            <v>0.26142624854581475</v>
          </cell>
        </row>
        <row r="179">
          <cell r="E179">
            <v>53026.216110000001</v>
          </cell>
          <cell r="F179">
            <v>56981.271170000007</v>
          </cell>
          <cell r="G179">
            <v>0.84473629501530156</v>
          </cell>
          <cell r="H179">
            <v>7.4586786501896762E-2</v>
          </cell>
        </row>
        <row r="180">
          <cell r="E180">
            <v>29370.714760000003</v>
          </cell>
          <cell r="F180">
            <v>32850.388929999994</v>
          </cell>
          <cell r="G180">
            <v>0.87674842998500691</v>
          </cell>
          <cell r="H180">
            <v>0.1184742761091726</v>
          </cell>
        </row>
        <row r="181">
          <cell r="E181">
            <v>6654.0212499999998</v>
          </cell>
          <cell r="F181">
            <v>7352.0197200000002</v>
          </cell>
          <cell r="G181">
            <v>0.90528736147367384</v>
          </cell>
          <cell r="H181">
            <v>0.10489874374837638</v>
          </cell>
        </row>
        <row r="183">
          <cell r="E183">
            <v>311260.80113000004</v>
          </cell>
          <cell r="F183">
            <v>405610.37125999999</v>
          </cell>
          <cell r="G183">
            <v>0.64282765233495809</v>
          </cell>
          <cell r="H183">
            <v>0.30312062999090683</v>
          </cell>
        </row>
        <row r="185">
          <cell r="E185">
            <v>1330055.5393300001</v>
          </cell>
          <cell r="F185">
            <v>1544795.6173100001</v>
          </cell>
          <cell r="G185">
            <v>0.82413476353371795</v>
          </cell>
          <cell r="H185">
            <v>0.16145196319258437</v>
          </cell>
        </row>
        <row r="199">
          <cell r="E199">
            <v>1018794.7382000001</v>
          </cell>
          <cell r="F199">
            <v>1139185.2460500002</v>
          </cell>
          <cell r="G199">
            <v>0.91613629965853494</v>
          </cell>
          <cell r="H199">
            <v>0.11816954224037834</v>
          </cell>
        </row>
        <row r="201">
          <cell r="E201">
            <v>311260.80113000004</v>
          </cell>
          <cell r="F201">
            <v>405610.37125999999</v>
          </cell>
          <cell r="G201">
            <v>0.64282765233495809</v>
          </cell>
          <cell r="H201">
            <v>0.30312062999090683</v>
          </cell>
        </row>
        <row r="202">
          <cell r="E202">
            <v>235484.77146000002</v>
          </cell>
          <cell r="F202">
            <v>261931.86807999999</v>
          </cell>
          <cell r="G202">
            <v>0.72175534188348889</v>
          </cell>
          <cell r="H202">
            <v>0.11230915891515436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E204">
            <v>19726.778460000001</v>
          </cell>
          <cell r="F204">
            <v>29082.185030000001</v>
          </cell>
          <cell r="G204">
            <v>0.65588861245506558</v>
          </cell>
          <cell r="H204">
            <v>0.4742490817225915</v>
          </cell>
        </row>
        <row r="205">
          <cell r="E205">
            <v>8411.3706399999992</v>
          </cell>
          <cell r="F205">
            <v>4852.3511099999996</v>
          </cell>
          <cell r="G205">
            <v>0.65407608867077138</v>
          </cell>
          <cell r="H205">
            <v>-0.42312004574797812</v>
          </cell>
        </row>
        <row r="206">
          <cell r="E206">
            <v>195313.5313</v>
          </cell>
          <cell r="F206">
            <v>215662.24631000002</v>
          </cell>
          <cell r="G206">
            <v>0.77214576195030638</v>
          </cell>
          <cell r="H206">
            <v>0.10418487072841121</v>
          </cell>
        </row>
        <row r="207">
          <cell r="E207">
            <v>10498.09188</v>
          </cell>
          <cell r="F207">
            <v>10431.804639999998</v>
          </cell>
          <cell r="G207">
            <v>0.74848161934505331</v>
          </cell>
          <cell r="H207">
            <v>-6.3142179319544134E-3</v>
          </cell>
        </row>
        <row r="208">
          <cell r="E208">
            <v>1534.99918</v>
          </cell>
          <cell r="F208">
            <v>1903.2809899999997</v>
          </cell>
          <cell r="G208">
            <v>0.10626360146368644</v>
          </cell>
          <cell r="H208">
            <v>0.23992313142473454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1">
          <cell r="E211">
            <v>75776.029670000018</v>
          </cell>
          <cell r="F211">
            <v>143678.50318</v>
          </cell>
          <cell r="G211">
            <v>0.5359759940088541</v>
          </cell>
          <cell r="H211">
            <v>0.89609436923141939</v>
          </cell>
        </row>
        <row r="212">
          <cell r="E212">
            <v>7634.4390199999998</v>
          </cell>
          <cell r="F212">
            <v>1561.5444399999997</v>
          </cell>
          <cell r="G212">
            <v>0.14570878518256139</v>
          </cell>
          <cell r="H212">
            <v>-0.79546048689246063</v>
          </cell>
        </row>
        <row r="213">
          <cell r="E213">
            <v>64320.403160000002</v>
          </cell>
          <cell r="F213">
            <v>135231.11194</v>
          </cell>
          <cell r="G213">
            <v>0.54561119334975505</v>
          </cell>
          <cell r="H213">
            <v>1.1024605769899529</v>
          </cell>
        </row>
        <row r="214">
          <cell r="E214">
            <v>8.2813999999999997</v>
          </cell>
          <cell r="F214">
            <v>20.318390000000001</v>
          </cell>
          <cell r="G214">
            <v>1.3226396302564771</v>
          </cell>
          <cell r="H214">
            <v>1.453496993262009</v>
          </cell>
        </row>
        <row r="216">
          <cell r="E216">
            <v>3812.9060899999999</v>
          </cell>
          <cell r="F216">
            <v>6865.5284099999999</v>
          </cell>
          <cell r="G216">
            <v>0.72389557326324305</v>
          </cell>
          <cell r="H216">
            <v>0.80060254513113382</v>
          </cell>
        </row>
        <row r="218">
          <cell r="E218">
            <v>1330055.5393300001</v>
          </cell>
          <cell r="F218">
            <v>1544795.6173100001</v>
          </cell>
          <cell r="G218">
            <v>0.82413476353371795</v>
          </cell>
          <cell r="H218">
            <v>0.16145196319258437</v>
          </cell>
        </row>
      </sheetData>
      <sheetData sheetId="26">
        <row r="8">
          <cell r="F8">
            <v>1164296.2886000003</v>
          </cell>
          <cell r="H8">
            <v>1295693.2647100003</v>
          </cell>
          <cell r="I8">
            <v>79.794803803929895</v>
          </cell>
          <cell r="J8">
            <v>80.766543894191216</v>
          </cell>
          <cell r="L8">
            <v>11.285527352148247</v>
          </cell>
        </row>
        <row r="9">
          <cell r="F9">
            <v>407387.95296000008</v>
          </cell>
          <cell r="H9">
            <v>433817.66859000031</v>
          </cell>
          <cell r="I9">
            <v>91.298606325004471</v>
          </cell>
          <cell r="J9">
            <v>88.942524165579201</v>
          </cell>
          <cell r="L9">
            <v>6.4876036313708223</v>
          </cell>
        </row>
        <row r="10">
          <cell r="F10">
            <v>333779.19439999969</v>
          </cell>
          <cell r="H10">
            <v>348921.57293000031</v>
          </cell>
          <cell r="I10">
            <v>94.203877897401654</v>
          </cell>
          <cell r="J10">
            <v>90.971649865923226</v>
          </cell>
          <cell r="L10">
            <v>4.5366454183043112</v>
          </cell>
        </row>
        <row r="11">
          <cell r="F11">
            <v>6082.0380199999991</v>
          </cell>
          <cell r="H11">
            <v>12920.546969999998</v>
          </cell>
          <cell r="I11">
            <v>78.232170071198283</v>
          </cell>
          <cell r="J11">
            <v>89.684087086225574</v>
          </cell>
          <cell r="L11">
            <v>112.43778693116423</v>
          </cell>
        </row>
        <row r="12">
          <cell r="F12">
            <v>67526.72053999998</v>
          </cell>
          <cell r="H12">
            <v>71975.548689999952</v>
          </cell>
          <cell r="I12">
            <v>80.269740991331531</v>
          </cell>
          <cell r="J12">
            <v>80.156259681181936</v>
          </cell>
          <cell r="L12">
            <v>6.588248495445109</v>
          </cell>
        </row>
        <row r="13">
          <cell r="F13">
            <v>151997.98733000027</v>
          </cell>
          <cell r="H13">
            <v>157108.30921999991</v>
          </cell>
          <cell r="I13">
            <v>76.235537290103863</v>
          </cell>
          <cell r="J13">
            <v>69.660322714550475</v>
          </cell>
          <cell r="L13">
            <v>3.3620983933851107</v>
          </cell>
        </row>
        <row r="14">
          <cell r="F14">
            <v>100503.12182000003</v>
          </cell>
          <cell r="H14">
            <v>118160.18909000001</v>
          </cell>
          <cell r="I14">
            <v>70.235640676706453</v>
          </cell>
          <cell r="J14">
            <v>86.100112913675915</v>
          </cell>
          <cell r="L14">
            <v>17.568675430424534</v>
          </cell>
        </row>
        <row r="15">
          <cell r="F15">
            <v>484100.17851999984</v>
          </cell>
          <cell r="H15">
            <v>557297.72777000011</v>
          </cell>
          <cell r="I15">
            <v>76.759463938549516</v>
          </cell>
          <cell r="J15">
            <v>80.019986292820562</v>
          </cell>
          <cell r="L15">
            <v>15.120330976489452</v>
          </cell>
        </row>
        <row r="16">
          <cell r="F16">
            <v>410663.08611999988</v>
          </cell>
          <cell r="H16">
            <v>483373.3756400001</v>
          </cell>
          <cell r="I16">
            <v>79.460125448495916</v>
          </cell>
          <cell r="J16">
            <v>84.862674138616981</v>
          </cell>
          <cell r="L16">
            <v>17.705582015412396</v>
          </cell>
        </row>
        <row r="17">
          <cell r="F17">
            <v>230</v>
          </cell>
          <cell r="H17">
            <v>117.78400000000001</v>
          </cell>
          <cell r="I17">
            <v>63.48505341025146</v>
          </cell>
          <cell r="J17">
            <v>16.558627331069921</v>
          </cell>
          <cell r="L17">
            <v>-48.789565217391299</v>
          </cell>
        </row>
        <row r="18">
          <cell r="F18">
            <v>410433.08611999988</v>
          </cell>
          <cell r="H18">
            <v>483255.59164000012</v>
          </cell>
          <cell r="I18">
            <v>79.471331878950906</v>
          </cell>
          <cell r="J18">
            <v>84.948079489057989</v>
          </cell>
          <cell r="L18">
            <v>17.742844810203444</v>
          </cell>
        </row>
        <row r="19"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 t="str">
            <v>-</v>
          </cell>
        </row>
        <row r="20"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 t="str">
            <v>-</v>
          </cell>
        </row>
        <row r="21">
          <cell r="F21">
            <v>73437.092399999965</v>
          </cell>
          <cell r="H21">
            <v>73924.35212999997</v>
          </cell>
          <cell r="I21">
            <v>64.500490149355798</v>
          </cell>
          <cell r="J21">
            <v>58.275433713148985</v>
          </cell>
          <cell r="L21">
            <v>0.66350629372140757</v>
          </cell>
        </row>
        <row r="27">
          <cell r="F27">
            <v>19473.053340000002</v>
          </cell>
          <cell r="H27">
            <v>28402.098770000001</v>
          </cell>
          <cell r="I27">
            <v>54.52919196740411</v>
          </cell>
          <cell r="J27">
            <v>56.098771199818231</v>
          </cell>
          <cell r="L27">
            <v>45.853340378104249</v>
          </cell>
        </row>
        <row r="28">
          <cell r="F28">
            <v>833.99463000000026</v>
          </cell>
          <cell r="H28">
            <v>907.2712700000003</v>
          </cell>
          <cell r="I28">
            <v>20.635647097481055</v>
          </cell>
          <cell r="J28">
            <v>13.649568685245997</v>
          </cell>
          <cell r="L28">
            <v>8.7862244388791844</v>
          </cell>
        </row>
        <row r="30">
          <cell r="F30">
            <v>1063793.1667800003</v>
          </cell>
          <cell r="H30">
            <v>1177533.0756200003</v>
          </cell>
          <cell r="I30">
            <v>80.834196852328247</v>
          </cell>
          <cell r="J30">
            <v>80.267599056446571</v>
          </cell>
          <cell r="L30">
            <v>10.691919481329224</v>
          </cell>
        </row>
        <row r="32">
          <cell r="F32">
            <v>128465.86049999997</v>
          </cell>
          <cell r="H32">
            <v>132340.94716000001</v>
          </cell>
          <cell r="I32">
            <v>47.022015917994167</v>
          </cell>
          <cell r="J32">
            <v>41.896619334251724</v>
          </cell>
          <cell r="L32">
            <v>3.016433039033001</v>
          </cell>
        </row>
        <row r="33">
          <cell r="F33">
            <v>87509.88787999998</v>
          </cell>
          <cell r="H33">
            <v>92478.822480000017</v>
          </cell>
          <cell r="I33">
            <v>46.807809919033176</v>
          </cell>
          <cell r="J33">
            <v>48.082134273742021</v>
          </cell>
          <cell r="L33">
            <v>5.6781407454364548</v>
          </cell>
        </row>
        <row r="34">
          <cell r="F34">
            <v>40955.972619999986</v>
          </cell>
          <cell r="H34">
            <v>39862.124680000001</v>
          </cell>
          <cell r="I34">
            <v>47.486340734409964</v>
          </cell>
          <cell r="J34">
            <v>32.797562782243226</v>
          </cell>
          <cell r="L34">
            <v>-2.6707898018904026</v>
          </cell>
        </row>
        <row r="35">
          <cell r="F35">
            <v>34920.101249999985</v>
          </cell>
          <cell r="H35">
            <v>29682.541940000003</v>
          </cell>
          <cell r="I35">
            <v>47.955204983393749</v>
          </cell>
          <cell r="J35">
            <v>35.431942178112443</v>
          </cell>
          <cell r="L35">
            <v>-14.998694512662631</v>
          </cell>
        </row>
        <row r="36">
          <cell r="F36">
            <v>5865.9711399999997</v>
          </cell>
          <cell r="H36">
            <v>10137.75088</v>
          </cell>
          <cell r="I36">
            <v>66.227770685046451</v>
          </cell>
          <cell r="J36">
            <v>94.04626395792917</v>
          </cell>
          <cell r="L36">
            <v>72.823060974009508</v>
          </cell>
        </row>
        <row r="37">
          <cell r="F37">
            <v>28231.183309999989</v>
          </cell>
          <cell r="H37">
            <v>18290.456780000004</v>
          </cell>
          <cell r="I37">
            <v>48.062850072240202</v>
          </cell>
          <cell r="J37">
            <v>27.106226470763943</v>
          </cell>
          <cell r="L37">
            <v>-35.211866328248462</v>
          </cell>
        </row>
        <row r="38">
          <cell r="F38">
            <v>822.94680000000005</v>
          </cell>
          <cell r="H38">
            <v>1254.33428</v>
          </cell>
          <cell r="I38">
            <v>15.756679694051748</v>
          </cell>
          <cell r="J38">
            <v>22.736195022390273</v>
          </cell>
          <cell r="L38">
            <v>52.419850226041341</v>
          </cell>
        </row>
        <row r="46"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</row>
        <row r="48">
          <cell r="F48">
            <v>1292762.1491000003</v>
          </cell>
          <cell r="H48">
            <v>1428034.2118700002</v>
          </cell>
          <cell r="I48">
            <v>74.626207455192969</v>
          </cell>
          <cell r="J48">
            <v>74.372132447886628</v>
          </cell>
          <cell r="L48">
            <v>10.463801315978669</v>
          </cell>
        </row>
        <row r="51">
          <cell r="F51">
            <v>24512.518009999996</v>
          </cell>
          <cell r="H51">
            <v>14258.04883</v>
          </cell>
          <cell r="I51">
            <v>22.646999926291631</v>
          </cell>
          <cell r="J51">
            <v>72.29086905769239</v>
          </cell>
          <cell r="L51">
            <v>-41.833601818534667</v>
          </cell>
        </row>
        <row r="52">
          <cell r="F52">
            <v>214606.04019999996</v>
          </cell>
          <cell r="H52">
            <v>233330.28303999998</v>
          </cell>
          <cell r="I52">
            <v>83.685455597197176</v>
          </cell>
          <cell r="J52">
            <v>88.60996248882384</v>
          </cell>
          <cell r="L52">
            <v>8.7249374819786762</v>
          </cell>
        </row>
      </sheetData>
      <sheetData sheetId="27">
        <row r="8">
          <cell r="D8">
            <v>186407.6550500002</v>
          </cell>
          <cell r="E8">
            <v>211326.18845000002</v>
          </cell>
          <cell r="F8">
            <v>14.798398154149961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10412.995040000002</v>
          </cell>
          <cell r="E10">
            <v>11890.090489999997</v>
          </cell>
          <cell r="F10">
            <v>0.83261944224921702</v>
          </cell>
        </row>
        <row r="11">
          <cell r="D11">
            <v>226893.92473999993</v>
          </cell>
          <cell r="E11">
            <v>229468.25194999986</v>
          </cell>
          <cell r="F11">
            <v>16.068820343562564</v>
          </cell>
        </row>
        <row r="12">
          <cell r="D12">
            <v>15846.783150000003</v>
          </cell>
          <cell r="E12">
            <v>22818.35818000001</v>
          </cell>
          <cell r="F12">
            <v>1.5978859603174034</v>
          </cell>
        </row>
        <row r="13">
          <cell r="D13">
            <v>82779.029529999971</v>
          </cell>
          <cell r="E13">
            <v>71189.100970000014</v>
          </cell>
          <cell r="F13">
            <v>4.9851117275949868</v>
          </cell>
        </row>
        <row r="14">
          <cell r="D14">
            <v>345123.1350999999</v>
          </cell>
          <cell r="E14">
            <v>416889.03103000007</v>
          </cell>
          <cell r="F14">
            <v>29.193210328209645</v>
          </cell>
        </row>
        <row r="15">
          <cell r="D15">
            <v>30946.725919999964</v>
          </cell>
          <cell r="E15">
            <v>29060.762479999961</v>
          </cell>
          <cell r="F15">
            <v>2.035018645802968</v>
          </cell>
        </row>
        <row r="16">
          <cell r="D16">
            <v>375805.57714999944</v>
          </cell>
          <cell r="E16">
            <v>406329.73172999988</v>
          </cell>
          <cell r="F16">
            <v>28.453781313678345</v>
          </cell>
        </row>
        <row r="17">
          <cell r="D17">
            <v>18546.323420000004</v>
          </cell>
          <cell r="E17">
            <v>29062.69659</v>
          </cell>
          <cell r="F17">
            <v>2.0351540844348972</v>
          </cell>
        </row>
        <row r="19">
          <cell r="D19">
            <v>1292762.1490999996</v>
          </cell>
          <cell r="E19">
            <v>1428034.21187</v>
          </cell>
          <cell r="F19">
            <v>100</v>
          </cell>
        </row>
        <row r="22">
          <cell r="D22">
            <v>24512.518009999996</v>
          </cell>
          <cell r="E22">
            <v>14258.04883</v>
          </cell>
          <cell r="F22">
            <v>0.99843888273021086</v>
          </cell>
        </row>
        <row r="23">
          <cell r="D23">
            <v>214606.04019999996</v>
          </cell>
          <cell r="E23">
            <v>233330.28303999998</v>
          </cell>
          <cell r="F23">
            <v>16.339264220739906</v>
          </cell>
        </row>
      </sheetData>
      <sheetData sheetId="28">
        <row r="9">
          <cell r="D9">
            <v>13851.9</v>
          </cell>
          <cell r="E9">
            <v>2214.6980599999997</v>
          </cell>
          <cell r="F9">
            <v>420980.97330000036</v>
          </cell>
          <cell r="G9">
            <v>193079.27834000002</v>
          </cell>
          <cell r="H9">
            <v>420693.44460000005</v>
          </cell>
          <cell r="I9">
            <v>37750.852859999999</v>
          </cell>
          <cell r="J9">
            <v>44334.204290000001</v>
          </cell>
          <cell r="K9">
            <v>137434.61348999999</v>
          </cell>
          <cell r="L9">
            <v>25353.299770000001</v>
          </cell>
          <cell r="M9">
            <v>1295693.2647100003</v>
          </cell>
        </row>
        <row r="10">
          <cell r="D10">
            <v>0</v>
          </cell>
          <cell r="E10">
            <v>1723.3903699999996</v>
          </cell>
          <cell r="F10">
            <v>328481.50168000034</v>
          </cell>
          <cell r="G10">
            <v>30561.378430000019</v>
          </cell>
          <cell r="H10">
            <v>5100.6964100000014</v>
          </cell>
          <cell r="I10">
            <v>19217.15957</v>
          </cell>
          <cell r="J10">
            <v>25326.308819999998</v>
          </cell>
          <cell r="K10">
            <v>16213.521439999995</v>
          </cell>
          <cell r="L10">
            <v>7193.7118699999992</v>
          </cell>
          <cell r="M10">
            <v>433817.66859000031</v>
          </cell>
        </row>
        <row r="11">
          <cell r="D11">
            <v>0</v>
          </cell>
          <cell r="E11">
            <v>1359.3397599999996</v>
          </cell>
          <cell r="F11">
            <v>265967.48265000037</v>
          </cell>
          <cell r="G11">
            <v>22881.353780000019</v>
          </cell>
          <cell r="H11">
            <v>4071.4869800000015</v>
          </cell>
          <cell r="I11">
            <v>15462.518229999998</v>
          </cell>
          <cell r="J11">
            <v>20418.515539999997</v>
          </cell>
          <cell r="K11">
            <v>13041.918479999997</v>
          </cell>
          <cell r="L11">
            <v>5718.9575099999993</v>
          </cell>
          <cell r="M11">
            <v>348921.57293000031</v>
          </cell>
        </row>
        <row r="12">
          <cell r="D12">
            <v>0</v>
          </cell>
          <cell r="E12">
            <v>32.81917</v>
          </cell>
          <cell r="F12">
            <v>7779.0971899999995</v>
          </cell>
          <cell r="G12">
            <v>2693.2605699999999</v>
          </cell>
          <cell r="H12">
            <v>155.48297000000002</v>
          </cell>
          <cell r="I12">
            <v>475.83042</v>
          </cell>
          <cell r="J12">
            <v>938.59030999999993</v>
          </cell>
          <cell r="K12">
            <v>531.20250999999996</v>
          </cell>
          <cell r="L12">
            <v>314.26383000000004</v>
          </cell>
          <cell r="M12">
            <v>12920.546969999998</v>
          </cell>
        </row>
        <row r="13">
          <cell r="D13">
            <v>0</v>
          </cell>
          <cell r="E13">
            <v>331.23144000000002</v>
          </cell>
          <cell r="F13">
            <v>54734.921839999952</v>
          </cell>
          <cell r="G13">
            <v>4986.7640800000008</v>
          </cell>
          <cell r="H13">
            <v>873.72645999999997</v>
          </cell>
          <cell r="I13">
            <v>3278.8109200000004</v>
          </cell>
          <cell r="J13">
            <v>3969.2029700000003</v>
          </cell>
          <cell r="K13">
            <v>2640.4004499999987</v>
          </cell>
          <cell r="L13">
            <v>1160.4905300000003</v>
          </cell>
          <cell r="M13">
            <v>71975.548689999952</v>
          </cell>
        </row>
        <row r="14">
          <cell r="D14">
            <v>0</v>
          </cell>
          <cell r="E14">
            <v>433.05769000000004</v>
          </cell>
          <cell r="F14">
            <v>25141.499519999998</v>
          </cell>
          <cell r="G14">
            <v>34193.801949999986</v>
          </cell>
          <cell r="H14">
            <v>616.40674000000001</v>
          </cell>
          <cell r="I14">
            <v>6614.3141700000015</v>
          </cell>
          <cell r="J14">
            <v>2485.6416900000017</v>
          </cell>
          <cell r="K14">
            <v>87141.741980000006</v>
          </cell>
          <cell r="L14">
            <v>481.84548000000007</v>
          </cell>
          <cell r="M14">
            <v>157108.30921999997</v>
          </cell>
        </row>
        <row r="15">
          <cell r="D15">
            <v>0</v>
          </cell>
          <cell r="E15">
            <v>86.063940000000002</v>
          </cell>
          <cell r="F15">
            <v>17902.432219999992</v>
          </cell>
          <cell r="G15">
            <v>491.96599000000009</v>
          </cell>
          <cell r="H15">
            <v>45.078789999999998</v>
          </cell>
          <cell r="I15">
            <v>1548.3859</v>
          </cell>
          <cell r="J15">
            <v>329.01247999999993</v>
          </cell>
          <cell r="K15">
            <v>1708.8385099999998</v>
          </cell>
          <cell r="L15">
            <v>50.1509</v>
          </cell>
          <cell r="M15">
            <v>22161.928729999996</v>
          </cell>
        </row>
        <row r="16">
          <cell r="D16">
            <v>0</v>
          </cell>
          <cell r="E16">
            <v>346.99375000000003</v>
          </cell>
          <cell r="F16">
            <v>7239.0673000000052</v>
          </cell>
          <cell r="G16">
            <v>33701.835959999989</v>
          </cell>
          <cell r="H16">
            <v>571.32794999999999</v>
          </cell>
          <cell r="I16">
            <v>5065.9282700000012</v>
          </cell>
          <cell r="J16">
            <v>2156.6292100000019</v>
          </cell>
          <cell r="K16">
            <v>85432.903470000005</v>
          </cell>
          <cell r="L16">
            <v>431.69458000000009</v>
          </cell>
          <cell r="M16">
            <v>134946.38049000001</v>
          </cell>
        </row>
        <row r="17">
          <cell r="D17">
            <v>0</v>
          </cell>
          <cell r="E17">
            <v>0</v>
          </cell>
          <cell r="F17">
            <v>14.834019999999999</v>
          </cell>
          <cell r="G17">
            <v>118145.21432000003</v>
          </cell>
          <cell r="H17">
            <v>8.9650000000000007E-2</v>
          </cell>
          <cell r="I17">
            <v>4.9110000000000008E-2</v>
          </cell>
          <cell r="J17">
            <v>1.99E-3</v>
          </cell>
          <cell r="K17">
            <v>0</v>
          </cell>
          <cell r="L17">
            <v>0</v>
          </cell>
          <cell r="M17">
            <v>118160.18909000003</v>
          </cell>
        </row>
        <row r="18">
          <cell r="D18">
            <v>13851.9</v>
          </cell>
          <cell r="E18">
            <v>58.25</v>
          </cell>
          <cell r="F18">
            <v>67298.968839999987</v>
          </cell>
          <cell r="G18">
            <v>9441.0688999999984</v>
          </cell>
          <cell r="H18">
            <v>414973.50828000001</v>
          </cell>
          <cell r="I18">
            <v>11883.700059999997</v>
          </cell>
          <cell r="J18">
            <v>14159.736150000002</v>
          </cell>
          <cell r="K18">
            <v>7952.9041199999992</v>
          </cell>
          <cell r="L18">
            <v>17677.691420000003</v>
          </cell>
          <cell r="M18">
            <v>557297.72777</v>
          </cell>
        </row>
        <row r="19">
          <cell r="D19">
            <v>13851.9</v>
          </cell>
          <cell r="E19">
            <v>0</v>
          </cell>
          <cell r="F19">
            <v>20516.597890000001</v>
          </cell>
          <cell r="G19">
            <v>9266.7977199999987</v>
          </cell>
          <cell r="H19">
            <v>414460.33033000003</v>
          </cell>
          <cell r="I19">
            <v>0</v>
          </cell>
          <cell r="J19">
            <v>12698.543490000002</v>
          </cell>
          <cell r="K19">
            <v>7919.3866099999996</v>
          </cell>
          <cell r="L19">
            <v>4659.8195999999998</v>
          </cell>
          <cell r="M19">
            <v>483373.37564000004</v>
          </cell>
        </row>
        <row r="20">
          <cell r="D20">
            <v>0</v>
          </cell>
          <cell r="E20">
            <v>0</v>
          </cell>
          <cell r="F20">
            <v>117.78400000000001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117.78400000000001</v>
          </cell>
        </row>
        <row r="21">
          <cell r="D21">
            <v>13851.9</v>
          </cell>
          <cell r="E21">
            <v>0</v>
          </cell>
          <cell r="F21">
            <v>20398.813890000001</v>
          </cell>
          <cell r="G21">
            <v>9266.7977199999987</v>
          </cell>
          <cell r="H21">
            <v>414460.33033000003</v>
          </cell>
          <cell r="I21">
            <v>0</v>
          </cell>
          <cell r="J21">
            <v>12698.543490000002</v>
          </cell>
          <cell r="K21">
            <v>7919.3866099999996</v>
          </cell>
          <cell r="L21">
            <v>4659.8195999999998</v>
          </cell>
          <cell r="M21">
            <v>483255.59164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D24">
            <v>0</v>
          </cell>
          <cell r="E24">
            <v>58.25</v>
          </cell>
          <cell r="F24">
            <v>46782.370949999982</v>
          </cell>
          <cell r="G24">
            <v>174.27117999999999</v>
          </cell>
          <cell r="H24">
            <v>513.17795000000001</v>
          </cell>
          <cell r="I24">
            <v>11883.700059999997</v>
          </cell>
          <cell r="J24">
            <v>1461.1926599999999</v>
          </cell>
          <cell r="K24">
            <v>33.517509999999994</v>
          </cell>
          <cell r="L24">
            <v>13017.871820000004</v>
          </cell>
          <cell r="M24">
            <v>73924.352129999985</v>
          </cell>
        </row>
        <row r="25">
          <cell r="D25">
            <v>0</v>
          </cell>
          <cell r="E25">
            <v>0</v>
          </cell>
          <cell r="F25">
            <v>14085.843319999998</v>
          </cell>
          <cell r="G25">
            <v>0</v>
          </cell>
          <cell r="H25">
            <v>0</v>
          </cell>
          <cell r="I25">
            <v>427.02500000000003</v>
          </cell>
          <cell r="J25">
            <v>2.3198000000000003</v>
          </cell>
          <cell r="K25">
            <v>6.2210799999999997</v>
          </cell>
          <cell r="L25">
            <v>0</v>
          </cell>
          <cell r="M25">
            <v>14521.409199999996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D27">
            <v>0</v>
          </cell>
          <cell r="E27">
            <v>24.5</v>
          </cell>
          <cell r="F27">
            <v>27543.100689999985</v>
          </cell>
          <cell r="G27">
            <v>35.892970000000005</v>
          </cell>
          <cell r="H27">
            <v>491.25</v>
          </cell>
          <cell r="I27">
            <v>11182.744479999998</v>
          </cell>
          <cell r="J27">
            <v>1361.08393</v>
          </cell>
          <cell r="K27">
            <v>0</v>
          </cell>
          <cell r="L27">
            <v>9028.8919400000032</v>
          </cell>
          <cell r="M27">
            <v>49667.464009999989</v>
          </cell>
        </row>
        <row r="28">
          <cell r="D28">
            <v>0</v>
          </cell>
          <cell r="E28">
            <v>0</v>
          </cell>
          <cell r="F28">
            <v>5153.4269399999994</v>
          </cell>
          <cell r="G28">
            <v>118.89420999999999</v>
          </cell>
          <cell r="H28">
            <v>21.927949999999999</v>
          </cell>
          <cell r="I28">
            <v>244.65215000000001</v>
          </cell>
          <cell r="J28">
            <v>97.788929999999993</v>
          </cell>
          <cell r="K28">
            <v>27.296429999999997</v>
          </cell>
          <cell r="L28">
            <v>3988.9798800000003</v>
          </cell>
          <cell r="M28">
            <v>9652.9664900000007</v>
          </cell>
        </row>
        <row r="29">
          <cell r="D29">
            <v>0</v>
          </cell>
          <cell r="E29">
            <v>33.75</v>
          </cell>
          <cell r="F29">
            <v>0</v>
          </cell>
          <cell r="G29">
            <v>19.484000000000002</v>
          </cell>
          <cell r="H29">
            <v>0</v>
          </cell>
          <cell r="I29">
            <v>29.27843</v>
          </cell>
          <cell r="J29">
            <v>0</v>
          </cell>
          <cell r="K29">
            <v>0</v>
          </cell>
          <cell r="L29">
            <v>0</v>
          </cell>
          <cell r="M29">
            <v>82.512429999999995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2311.0969500000001</v>
          </cell>
          <cell r="K30">
            <v>26091.001819999998</v>
          </cell>
          <cell r="L30">
            <v>0</v>
          </cell>
          <cell r="M30">
            <v>28402.098769999997</v>
          </cell>
        </row>
        <row r="31">
          <cell r="D31">
            <v>0</v>
          </cell>
          <cell r="E31">
            <v>0</v>
          </cell>
          <cell r="F31">
            <v>44.169239999999988</v>
          </cell>
          <cell r="G31">
            <v>737.81474000000003</v>
          </cell>
          <cell r="H31">
            <v>2.7435200000000002</v>
          </cell>
          <cell r="I31">
            <v>35.629949999999994</v>
          </cell>
          <cell r="J31">
            <v>51.418690000000005</v>
          </cell>
          <cell r="K31">
            <v>35.444130000000001</v>
          </cell>
          <cell r="L31">
            <v>5.0999999999999997E-2</v>
          </cell>
          <cell r="M31">
            <v>907.27126999999996</v>
          </cell>
        </row>
        <row r="32">
          <cell r="D32">
            <v>70</v>
          </cell>
          <cell r="E32">
            <v>5.25298</v>
          </cell>
          <cell r="F32">
            <v>6806.5363300000008</v>
          </cell>
          <cell r="G32">
            <v>12351.733709999997</v>
          </cell>
          <cell r="H32">
            <v>1061.8904499999999</v>
          </cell>
          <cell r="I32">
            <v>658.53162999999995</v>
          </cell>
          <cell r="J32">
            <v>12527.002709999999</v>
          </cell>
          <cell r="K32">
            <v>90981.378200000036</v>
          </cell>
          <cell r="L32">
            <v>7878.621149999999</v>
          </cell>
          <cell r="M32">
            <v>132340.94716000004</v>
          </cell>
        </row>
        <row r="33">
          <cell r="D33">
            <v>0</v>
          </cell>
          <cell r="E33">
            <v>5.25298</v>
          </cell>
          <cell r="F33">
            <v>2788.2444400000013</v>
          </cell>
          <cell r="G33">
            <v>9230.2103599999973</v>
          </cell>
          <cell r="H33">
            <v>13.70707</v>
          </cell>
          <cell r="I33">
            <v>495.61507</v>
          </cell>
          <cell r="J33">
            <v>1829.9350700000002</v>
          </cell>
          <cell r="K33">
            <v>78035.662530000031</v>
          </cell>
          <cell r="L33">
            <v>80.194960000000009</v>
          </cell>
          <cell r="M33">
            <v>92478.822480000017</v>
          </cell>
        </row>
        <row r="34">
          <cell r="D34">
            <v>70</v>
          </cell>
          <cell r="E34">
            <v>0</v>
          </cell>
          <cell r="F34">
            <v>4018.29189</v>
          </cell>
          <cell r="G34">
            <v>3121.5233499999995</v>
          </cell>
          <cell r="H34">
            <v>1048.1833799999999</v>
          </cell>
          <cell r="I34">
            <v>162.91656</v>
          </cell>
          <cell r="J34">
            <v>10697.067639999999</v>
          </cell>
          <cell r="K34">
            <v>12945.71567</v>
          </cell>
          <cell r="L34">
            <v>7798.4261899999992</v>
          </cell>
          <cell r="M34">
            <v>39862.124679999994</v>
          </cell>
        </row>
        <row r="35">
          <cell r="D35">
            <v>70</v>
          </cell>
          <cell r="E35">
            <v>0</v>
          </cell>
          <cell r="F35">
            <v>2273.7797999999998</v>
          </cell>
          <cell r="G35">
            <v>3092.9073099999996</v>
          </cell>
          <cell r="H35">
            <v>1010.7890099999998</v>
          </cell>
          <cell r="I35">
            <v>0</v>
          </cell>
          <cell r="J35">
            <v>10274.567949999999</v>
          </cell>
          <cell r="K35">
            <v>12945.71567</v>
          </cell>
          <cell r="L35">
            <v>14.782200000000001</v>
          </cell>
          <cell r="M35">
            <v>29682.541939999996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10137.75088</v>
          </cell>
          <cell r="K36">
            <v>0</v>
          </cell>
          <cell r="L36">
            <v>0</v>
          </cell>
          <cell r="M36">
            <v>10137.75088</v>
          </cell>
        </row>
        <row r="37">
          <cell r="D37">
            <v>70</v>
          </cell>
          <cell r="E37">
            <v>0</v>
          </cell>
          <cell r="F37">
            <v>2273.7797999999998</v>
          </cell>
          <cell r="G37">
            <v>1838.5730299999998</v>
          </cell>
          <cell r="H37">
            <v>1010.7890099999998</v>
          </cell>
          <cell r="I37">
            <v>0</v>
          </cell>
          <cell r="J37">
            <v>136.81707</v>
          </cell>
          <cell r="K37">
            <v>12945.71567</v>
          </cell>
          <cell r="L37">
            <v>14.782200000000001</v>
          </cell>
          <cell r="M37">
            <v>18290.45678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1254.33428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1254.33428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D40">
            <v>0</v>
          </cell>
          <cell r="E40">
            <v>0</v>
          </cell>
          <cell r="F40">
            <v>1744.5120900000002</v>
          </cell>
          <cell r="G40">
            <v>28.616039999999998</v>
          </cell>
          <cell r="H40">
            <v>37.394370000000002</v>
          </cell>
          <cell r="I40">
            <v>162.91656</v>
          </cell>
          <cell r="J40">
            <v>422.49968999999999</v>
          </cell>
          <cell r="K40">
            <v>0</v>
          </cell>
          <cell r="L40">
            <v>7783.6439899999996</v>
          </cell>
          <cell r="M40">
            <v>10179.58274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D48">
            <v>13921.9</v>
          </cell>
          <cell r="E48">
            <v>2219.9510399999999</v>
          </cell>
          <cell r="F48">
            <v>427787.50963000034</v>
          </cell>
          <cell r="G48">
            <v>205431.01205000002</v>
          </cell>
          <cell r="H48">
            <v>421755.33505000005</v>
          </cell>
          <cell r="I48">
            <v>38409.384489999997</v>
          </cell>
          <cell r="J48">
            <v>56861.207000000002</v>
          </cell>
          <cell r="K48">
            <v>228415.99169000002</v>
          </cell>
          <cell r="L48">
            <v>33231.920920000004</v>
          </cell>
          <cell r="M48">
            <v>1428034.2118700005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141.374</v>
          </cell>
          <cell r="K50">
            <v>14116.67483</v>
          </cell>
          <cell r="L50">
            <v>0</v>
          </cell>
          <cell r="M50">
            <v>14258.04883</v>
          </cell>
        </row>
        <row r="51">
          <cell r="E51">
            <v>0</v>
          </cell>
          <cell r="F51">
            <v>0</v>
          </cell>
          <cell r="G51">
            <v>233330.28303999998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233330.28303999998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145406.92653</v>
          </cell>
        </row>
      </sheetData>
      <sheetData sheetId="29">
        <row r="5">
          <cell r="C5">
            <v>-3684.2919299998321</v>
          </cell>
          <cell r="D5">
            <v>6971.9255099997972</v>
          </cell>
        </row>
      </sheetData>
      <sheetData sheetId="30">
        <row r="7">
          <cell r="D7">
            <v>529200.37196000002</v>
          </cell>
          <cell r="E7">
            <v>379280.65918999992</v>
          </cell>
          <cell r="F7">
            <v>908481.03114999994</v>
          </cell>
        </row>
        <row r="8">
          <cell r="D8">
            <v>0</v>
          </cell>
          <cell r="E8">
            <v>0</v>
          </cell>
          <cell r="F8">
            <v>0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0</v>
          </cell>
          <cell r="E10">
            <v>0</v>
          </cell>
          <cell r="F10">
            <v>0</v>
          </cell>
        </row>
        <row r="11">
          <cell r="D11">
            <v>4232.3491099999983</v>
          </cell>
          <cell r="E11">
            <v>7587.0509700000021</v>
          </cell>
          <cell r="F11">
            <v>11819.400079999999</v>
          </cell>
        </row>
        <row r="12">
          <cell r="D12">
            <v>518944.12167000002</v>
          </cell>
          <cell r="E12">
            <v>337388.85441999993</v>
          </cell>
          <cell r="F12">
            <v>856332.97609000001</v>
          </cell>
        </row>
        <row r="13">
          <cell r="D13">
            <v>37497.323759999992</v>
          </cell>
          <cell r="E13">
            <v>3844.3818099999994</v>
          </cell>
          <cell r="F13">
            <v>41341.705569999991</v>
          </cell>
        </row>
        <row r="14">
          <cell r="D14">
            <v>479932.87461</v>
          </cell>
          <cell r="E14">
            <v>333534.18195999996</v>
          </cell>
          <cell r="F14">
            <v>813467.05657000002</v>
          </cell>
        </row>
        <row r="15">
          <cell r="D15">
            <v>5149.5769999999993</v>
          </cell>
          <cell r="E15">
            <v>15500.239680000002</v>
          </cell>
          <cell r="F15">
            <v>20649.816680000004</v>
          </cell>
        </row>
        <row r="16">
          <cell r="D16">
            <v>874.32418000000007</v>
          </cell>
          <cell r="E16">
            <v>18804.514119999996</v>
          </cell>
          <cell r="F16">
            <v>19678.838299999996</v>
          </cell>
        </row>
        <row r="17">
          <cell r="D17">
            <v>7261.2279800000015</v>
          </cell>
          <cell r="E17">
            <v>62211.808590000001</v>
          </cell>
          <cell r="F17">
            <v>69473.036569999997</v>
          </cell>
        </row>
        <row r="18">
          <cell r="D18">
            <v>0</v>
          </cell>
          <cell r="E18">
            <v>881.47902999999997</v>
          </cell>
          <cell r="F18">
            <v>881.47902999999997</v>
          </cell>
        </row>
        <row r="19">
          <cell r="D19">
            <v>7217.1768100000018</v>
          </cell>
          <cell r="E19">
            <v>60587.598060000004</v>
          </cell>
          <cell r="F19">
            <v>67804.774870000008</v>
          </cell>
        </row>
        <row r="20">
          <cell r="D20">
            <v>4866.6215499999998</v>
          </cell>
          <cell r="E20">
            <v>43535.344520000006</v>
          </cell>
          <cell r="F20">
            <v>48401.966070000009</v>
          </cell>
        </row>
        <row r="21">
          <cell r="D21">
            <v>2350.5552600000019</v>
          </cell>
          <cell r="E21">
            <v>17052.253539999998</v>
          </cell>
          <cell r="F21">
            <v>19402.808799999999</v>
          </cell>
        </row>
        <row r="22">
          <cell r="D22">
            <v>0</v>
          </cell>
          <cell r="E22">
            <v>628.70791000000008</v>
          </cell>
          <cell r="F22">
            <v>628.70791000000008</v>
          </cell>
        </row>
        <row r="32">
          <cell r="D32">
            <v>536461.59993999999</v>
          </cell>
          <cell r="E32">
            <v>441492.46777999995</v>
          </cell>
          <cell r="F32">
            <v>977954.06771999993</v>
          </cell>
        </row>
        <row r="34">
          <cell r="D34">
            <v>510417.79899999965</v>
          </cell>
          <cell r="E34">
            <v>372588.15349000017</v>
          </cell>
          <cell r="F34">
            <v>883005.95248999982</v>
          </cell>
        </row>
        <row r="35">
          <cell r="D35">
            <v>53851.478440000035</v>
          </cell>
          <cell r="E35">
            <v>241027.01085000005</v>
          </cell>
          <cell r="F35">
            <v>294878.48929000006</v>
          </cell>
        </row>
        <row r="36">
          <cell r="D36">
            <v>92055.961139999956</v>
          </cell>
          <cell r="E36">
            <v>116461.85667000011</v>
          </cell>
          <cell r="F36">
            <v>208517.81781000007</v>
          </cell>
        </row>
        <row r="37">
          <cell r="D37">
            <v>21.346550000000001</v>
          </cell>
          <cell r="E37">
            <v>1510.9843000000001</v>
          </cell>
          <cell r="F37">
            <v>1532.3308500000001</v>
          </cell>
        </row>
        <row r="38">
          <cell r="D38">
            <v>358611.84261999972</v>
          </cell>
          <cell r="E38">
            <v>12100.827069999996</v>
          </cell>
          <cell r="F38">
            <v>370712.66968999972</v>
          </cell>
        </row>
        <row r="39">
          <cell r="D39">
            <v>2331.5140200000001</v>
          </cell>
          <cell r="E39">
            <v>0</v>
          </cell>
          <cell r="F39">
            <v>2331.5140200000001</v>
          </cell>
        </row>
        <row r="40">
          <cell r="D40">
            <v>356280.32859999972</v>
          </cell>
          <cell r="E40">
            <v>12100.827069999996</v>
          </cell>
          <cell r="F40">
            <v>368381.15566999972</v>
          </cell>
        </row>
        <row r="41">
          <cell r="D41">
            <v>5713.1233999999995</v>
          </cell>
          <cell r="E41">
            <v>0</v>
          </cell>
          <cell r="F41">
            <v>5713.1233999999995</v>
          </cell>
        </row>
        <row r="42">
          <cell r="D42">
            <v>164.04684999999995</v>
          </cell>
          <cell r="E42">
            <v>1487.4745999999998</v>
          </cell>
          <cell r="F42">
            <v>1651.5214499999997</v>
          </cell>
        </row>
        <row r="43">
          <cell r="D43">
            <v>4258.9982300000001</v>
          </cell>
          <cell r="E43">
            <v>61932.388779999994</v>
          </cell>
          <cell r="F43">
            <v>66191.387009999991</v>
          </cell>
        </row>
        <row r="44">
          <cell r="D44">
            <v>1710.4326000000003</v>
          </cell>
          <cell r="E44">
            <v>58872.823489999995</v>
          </cell>
          <cell r="F44">
            <v>60583.256089999995</v>
          </cell>
        </row>
        <row r="45">
          <cell r="D45">
            <v>2548.5656299999996</v>
          </cell>
          <cell r="E45">
            <v>3059.56529</v>
          </cell>
          <cell r="F45">
            <v>5608.1309199999996</v>
          </cell>
        </row>
        <row r="46">
          <cell r="D46">
            <v>0</v>
          </cell>
          <cell r="E46">
            <v>0</v>
          </cell>
          <cell r="F46">
            <v>0</v>
          </cell>
        </row>
        <row r="48">
          <cell r="D48">
            <v>514676.79722999968</v>
          </cell>
          <cell r="E48">
            <v>434520.54227000015</v>
          </cell>
          <cell r="F48">
            <v>949197.33949999977</v>
          </cell>
        </row>
        <row r="50">
          <cell r="D50">
            <v>6167.0650600000008</v>
          </cell>
          <cell r="E50">
            <v>634.32416000000001</v>
          </cell>
          <cell r="F50">
            <v>6801.3892200000009</v>
          </cell>
        </row>
        <row r="51">
          <cell r="D51">
            <v>0</v>
          </cell>
          <cell r="E51">
            <v>12499.664860000001</v>
          </cell>
          <cell r="F51">
            <v>12499.664860000001</v>
          </cell>
        </row>
        <row r="52">
          <cell r="D52">
            <v>0</v>
          </cell>
          <cell r="E52">
            <v>0</v>
          </cell>
          <cell r="F52">
            <v>0</v>
          </cell>
        </row>
        <row r="56">
          <cell r="D56">
            <v>21784.802710000309</v>
          </cell>
          <cell r="E56">
            <v>6971.9255099997972</v>
          </cell>
          <cell r="F56">
            <v>28756.728220000106</v>
          </cell>
        </row>
        <row r="84">
          <cell r="D84">
            <v>21784.802710000309</v>
          </cell>
          <cell r="E84">
            <v>6971.9255099997972</v>
          </cell>
          <cell r="F84">
            <v>28756.728220000106</v>
          </cell>
        </row>
        <row r="87">
          <cell r="D87">
            <v>514655.45067999966</v>
          </cell>
          <cell r="E87">
            <v>433009.55797000014</v>
          </cell>
          <cell r="F87">
            <v>947665.00864999974</v>
          </cell>
        </row>
        <row r="88">
          <cell r="D88">
            <v>21806.149260000308</v>
          </cell>
          <cell r="E88">
            <v>8482.9098099997973</v>
          </cell>
          <cell r="F88">
            <v>30289.059070000105</v>
          </cell>
        </row>
        <row r="89">
          <cell r="D89">
            <v>18782.572960000369</v>
          </cell>
          <cell r="E89">
            <v>6692.5056999997469</v>
          </cell>
          <cell r="F89">
            <v>25475.078660000116</v>
          </cell>
        </row>
        <row r="90">
          <cell r="D90">
            <v>3002.2297500000013</v>
          </cell>
          <cell r="E90">
            <v>279.41981000000669</v>
          </cell>
          <cell r="F90">
            <v>3281.6495600000053</v>
          </cell>
        </row>
      </sheetData>
      <sheetData sheetId="31">
        <row r="6">
          <cell r="D6">
            <v>61527.252690000081</v>
          </cell>
          <cell r="E6">
            <v>45314.489390000075</v>
          </cell>
          <cell r="F6">
            <v>106841.74208000016</v>
          </cell>
        </row>
        <row r="7">
          <cell r="D7">
            <v>0</v>
          </cell>
          <cell r="E7">
            <v>0</v>
          </cell>
          <cell r="F7">
            <v>0</v>
          </cell>
        </row>
        <row r="8">
          <cell r="D8">
            <v>0</v>
          </cell>
          <cell r="E8">
            <v>0</v>
          </cell>
          <cell r="F8">
            <v>0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61527.252690000081</v>
          </cell>
          <cell r="E10">
            <v>45314.489390000075</v>
          </cell>
          <cell r="F10">
            <v>106841.74208000016</v>
          </cell>
        </row>
        <row r="11">
          <cell r="D11">
            <v>60589.98704000008</v>
          </cell>
          <cell r="E11">
            <v>42307.303800000074</v>
          </cell>
          <cell r="F11">
            <v>102897.29084000015</v>
          </cell>
        </row>
        <row r="12">
          <cell r="D12">
            <v>575.67764000000159</v>
          </cell>
          <cell r="E12">
            <v>25636.887180000005</v>
          </cell>
          <cell r="F12">
            <v>26212.564820000007</v>
          </cell>
        </row>
        <row r="13">
          <cell r="D13">
            <v>0</v>
          </cell>
          <cell r="E13">
            <v>645.19999999999993</v>
          </cell>
          <cell r="F13">
            <v>645.19999999999993</v>
          </cell>
        </row>
        <row r="14">
          <cell r="D14">
            <v>575.37164000000155</v>
          </cell>
          <cell r="E14">
            <v>24965.299230000004</v>
          </cell>
          <cell r="F14">
            <v>25540.670870000005</v>
          </cell>
        </row>
        <row r="16">
          <cell r="D16">
            <v>62102.930330000083</v>
          </cell>
          <cell r="E16">
            <v>70951.37657000008</v>
          </cell>
          <cell r="F16">
            <v>133054.30690000017</v>
          </cell>
        </row>
        <row r="17">
          <cell r="D17">
            <v>58749.163469999876</v>
          </cell>
          <cell r="E17">
            <v>55123.613840000173</v>
          </cell>
          <cell r="F17">
            <v>113872.77731000005</v>
          </cell>
        </row>
        <row r="18">
          <cell r="D18">
            <v>14086.498709999993</v>
          </cell>
          <cell r="E18">
            <v>53766.153930000175</v>
          </cell>
          <cell r="F18">
            <v>67852.65264000016</v>
          </cell>
        </row>
        <row r="19">
          <cell r="D19">
            <v>7535.3360700000676</v>
          </cell>
          <cell r="E19">
            <v>24381.693570000112</v>
          </cell>
          <cell r="F19">
            <v>31917.029640000179</v>
          </cell>
        </row>
        <row r="20">
          <cell r="D20">
            <v>6551.162639999925</v>
          </cell>
          <cell r="E20">
            <v>29384.460360000059</v>
          </cell>
          <cell r="F20">
            <v>35935.622999999985</v>
          </cell>
        </row>
        <row r="21">
          <cell r="D21">
            <v>515.59993999999949</v>
          </cell>
          <cell r="E21">
            <v>0</v>
          </cell>
          <cell r="F21">
            <v>515.59993999999949</v>
          </cell>
        </row>
        <row r="22">
          <cell r="D22">
            <v>0.10083000000000175</v>
          </cell>
          <cell r="E22">
            <v>239.31443999999971</v>
          </cell>
          <cell r="F22">
            <v>239.41526999999971</v>
          </cell>
        </row>
        <row r="23">
          <cell r="D23">
            <v>44146.963989999887</v>
          </cell>
          <cell r="E23">
            <v>1118.1454699999988</v>
          </cell>
          <cell r="F23">
            <v>45265.109459999883</v>
          </cell>
        </row>
        <row r="24">
          <cell r="D24">
            <v>171.7321200000008</v>
          </cell>
          <cell r="E24">
            <v>27062.043469999979</v>
          </cell>
          <cell r="F24">
            <v>27233.775589999979</v>
          </cell>
        </row>
        <row r="25">
          <cell r="D25">
            <v>171.48212000000035</v>
          </cell>
          <cell r="E25">
            <v>26907.043469999979</v>
          </cell>
          <cell r="F25">
            <v>27078.525589999979</v>
          </cell>
        </row>
        <row r="26">
          <cell r="D26">
            <v>0.25000000000046568</v>
          </cell>
          <cell r="E26">
            <v>155</v>
          </cell>
          <cell r="F26">
            <v>155.25000000000045</v>
          </cell>
        </row>
        <row r="27">
          <cell r="D27">
            <v>0</v>
          </cell>
          <cell r="E27">
            <v>0</v>
          </cell>
          <cell r="F27">
            <v>0</v>
          </cell>
        </row>
        <row r="29">
          <cell r="D29">
            <v>58920.895589999876</v>
          </cell>
          <cell r="E29">
            <v>82185.657310000155</v>
          </cell>
          <cell r="F29">
            <v>141106.55290000004</v>
          </cell>
        </row>
        <row r="31">
          <cell r="D31">
            <v>3182.0347400002065</v>
          </cell>
          <cell r="E31">
            <v>-11234.280740000075</v>
          </cell>
          <cell r="F31">
            <v>-8052.2459999998682</v>
          </cell>
        </row>
      </sheetData>
      <sheetData sheetId="32"/>
      <sheetData sheetId="33">
        <row r="5">
          <cell r="B5">
            <v>46018577.31000001</v>
          </cell>
          <cell r="C5">
            <v>40600848.45000001</v>
          </cell>
          <cell r="D5">
            <v>1095283.4000000001</v>
          </cell>
          <cell r="E5">
            <v>2.8331836392195586</v>
          </cell>
          <cell r="F5">
            <v>3.3802759327800374</v>
          </cell>
          <cell r="G5">
            <v>3.8458110284975033E-2</v>
          </cell>
        </row>
        <row r="6">
          <cell r="B6">
            <v>27910545.77</v>
          </cell>
          <cell r="C6">
            <v>21534766.260000002</v>
          </cell>
          <cell r="D6">
            <v>630</v>
          </cell>
          <cell r="E6">
            <v>-0.16011367898759443</v>
          </cell>
          <cell r="F6">
            <v>-0.19602520507715593</v>
          </cell>
          <cell r="G6">
            <v>0</v>
          </cell>
        </row>
        <row r="7">
          <cell r="B7">
            <v>73929123.080000013</v>
          </cell>
          <cell r="C7">
            <v>62135614.710000008</v>
          </cell>
          <cell r="D7">
            <v>1095913.4000000001</v>
          </cell>
          <cell r="E7">
            <v>0.63427483973596455</v>
          </cell>
          <cell r="F7">
            <v>0.72338549993254464</v>
          </cell>
          <cell r="G7">
            <v>3.8435152412776619E-2</v>
          </cell>
        </row>
        <row r="13">
          <cell r="B13">
            <v>64346068.250000037</v>
          </cell>
          <cell r="C13">
            <v>62433486.170000039</v>
          </cell>
          <cell r="D13">
            <v>5192100.91</v>
          </cell>
          <cell r="E13">
            <v>-0.14864844251954923</v>
          </cell>
          <cell r="F13">
            <v>-0.14495144795672721</v>
          </cell>
          <cell r="G13">
            <v>0.67855204436003569</v>
          </cell>
        </row>
        <row r="14">
          <cell r="B14">
            <v>174522.32</v>
          </cell>
          <cell r="C14">
            <v>174522.32</v>
          </cell>
          <cell r="D14">
            <v>0</v>
          </cell>
          <cell r="E14">
            <v>-0.53428755615920531</v>
          </cell>
          <cell r="F14">
            <v>-0.53428755615920531</v>
          </cell>
          <cell r="G14">
            <v>-1</v>
          </cell>
        </row>
        <row r="15">
          <cell r="B15">
            <v>64520590.570000038</v>
          </cell>
          <cell r="C15">
            <v>62608008.490000039</v>
          </cell>
          <cell r="D15">
            <v>5192100.91</v>
          </cell>
          <cell r="E15">
            <v>-0.15055106731491463</v>
          </cell>
          <cell r="F15">
            <v>-0.14693940872030986</v>
          </cell>
          <cell r="G15">
            <v>0.63487884959766183</v>
          </cell>
        </row>
        <row r="21">
          <cell r="B21">
            <v>89901848.590000004</v>
          </cell>
          <cell r="C21">
            <v>85555346.670000017</v>
          </cell>
          <cell r="D21">
            <v>42018043.000000045</v>
          </cell>
          <cell r="E21">
            <v>0.11574197197494862</v>
          </cell>
          <cell r="F21">
            <v>0.12138146772580916</v>
          </cell>
          <cell r="G21">
            <v>0.26594533732745385</v>
          </cell>
        </row>
        <row r="22">
          <cell r="B22">
            <v>12231661.75</v>
          </cell>
          <cell r="C22">
            <v>3514526.75</v>
          </cell>
          <cell r="D22">
            <v>141499.44</v>
          </cell>
          <cell r="E22">
            <v>-6.1417370831373441E-2</v>
          </cell>
          <cell r="F22">
            <v>-0.18549460526788408</v>
          </cell>
          <cell r="G22">
            <v>-0.31019737549293658</v>
          </cell>
        </row>
        <row r="23">
          <cell r="B23">
            <v>102133510.34</v>
          </cell>
          <cell r="C23">
            <v>89069873.420000017</v>
          </cell>
          <cell r="D23">
            <v>42159542.440000042</v>
          </cell>
          <cell r="E23">
            <v>9.1077914872404797E-2</v>
          </cell>
          <cell r="F23">
            <v>0.10495479547773745</v>
          </cell>
          <cell r="G23">
            <v>0.26240647817790097</v>
          </cell>
        </row>
        <row r="29">
          <cell r="B29">
            <v>200266494.15000004</v>
          </cell>
          <cell r="C29">
            <v>188589681.29000008</v>
          </cell>
          <cell r="D29">
            <v>48305427.310000047</v>
          </cell>
          <cell r="E29">
            <v>0.19091242246027806</v>
          </cell>
          <cell r="F29">
            <v>0.18923185691475286</v>
          </cell>
          <cell r="G29">
            <v>0.29370027120608277</v>
          </cell>
        </row>
        <row r="30">
          <cell r="B30">
            <v>21409461.449999999</v>
          </cell>
          <cell r="C30">
            <v>20713857.840000004</v>
          </cell>
          <cell r="D30">
            <v>41462.240000000005</v>
          </cell>
          <cell r="E30">
            <v>15.747736786823868</v>
          </cell>
          <cell r="F30">
            <v>27.670558557221824</v>
          </cell>
          <cell r="G30">
            <v>75.648500757939885</v>
          </cell>
        </row>
        <row r="31">
          <cell r="B31">
            <v>116963478.03000005</v>
          </cell>
          <cell r="C31">
            <v>116841619.36000004</v>
          </cell>
          <cell r="D31">
            <v>46658844.910000041</v>
          </cell>
          <cell r="E31">
            <v>0.1545708077145449</v>
          </cell>
          <cell r="F31">
            <v>0.16064794786872927</v>
          </cell>
          <cell r="G31">
            <v>0.3048831673367649</v>
          </cell>
        </row>
        <row r="32">
          <cell r="B32">
            <v>24370815.800000001</v>
          </cell>
          <cell r="C32">
            <v>19091541.029999997</v>
          </cell>
          <cell r="D32">
            <v>1479833.45</v>
          </cell>
          <cell r="E32">
            <v>1.3154745118846209</v>
          </cell>
          <cell r="F32">
            <v>2.5767997536572635</v>
          </cell>
          <cell r="G32">
            <v>3.5970003868127769</v>
          </cell>
        </row>
        <row r="33">
          <cell r="B33">
            <v>37441498.379999995</v>
          </cell>
          <cell r="C33">
            <v>31865654.84</v>
          </cell>
          <cell r="D33">
            <v>124985.71</v>
          </cell>
          <cell r="E33">
            <v>-0.29609748309878048</v>
          </cell>
          <cell r="F33">
            <v>-0.36263151422142781</v>
          </cell>
          <cell r="G33">
            <v>-0.90073759052406721</v>
          </cell>
        </row>
        <row r="34">
          <cell r="B34">
            <v>61454.2</v>
          </cell>
          <cell r="C34">
            <v>61454.2</v>
          </cell>
          <cell r="D34">
            <v>0</v>
          </cell>
          <cell r="E34">
            <v>-0.96677610915379875</v>
          </cell>
          <cell r="F34">
            <v>-0.96677610915379875</v>
          </cell>
          <cell r="G34">
            <v>0</v>
          </cell>
        </row>
        <row r="35">
          <cell r="B35">
            <v>19786.29</v>
          </cell>
          <cell r="C35">
            <v>15554.02</v>
          </cell>
          <cell r="D35">
            <v>301</v>
          </cell>
          <cell r="E35">
            <v>0.52716061579499018</v>
          </cell>
          <cell r="F35">
            <v>1.4499458158494942</v>
          </cell>
          <cell r="G35">
            <v>0.1576923076923078</v>
          </cell>
        </row>
        <row r="36">
          <cell r="B36">
            <v>40316729.840000004</v>
          </cell>
          <cell r="C36">
            <v>25223815.330000002</v>
          </cell>
          <cell r="D36">
            <v>142129.44</v>
          </cell>
          <cell r="E36">
            <v>-0.13554157931008159</v>
          </cell>
          <cell r="F36">
            <v>-0.19860892302229716</v>
          </cell>
          <cell r="G36">
            <v>-0.5071629311275081</v>
          </cell>
        </row>
        <row r="37">
          <cell r="B37">
            <v>22786434.719999999</v>
          </cell>
          <cell r="C37">
            <v>13697453.75</v>
          </cell>
          <cell r="D37">
            <v>142129.44</v>
          </cell>
          <cell r="E37">
            <v>-7.9582020018587829E-2</v>
          </cell>
          <cell r="F37">
            <v>-0.13208181941453134</v>
          </cell>
          <cell r="G37">
            <v>-0.5071629311275081</v>
          </cell>
        </row>
        <row r="38">
          <cell r="B38">
            <v>17530295.120000001</v>
          </cell>
          <cell r="C38">
            <v>11526361.580000002</v>
          </cell>
          <cell r="D38">
            <v>0</v>
          </cell>
          <cell r="E38">
            <v>-0.19885387744130456</v>
          </cell>
          <cell r="F38">
            <v>-0.26551285367623234</v>
          </cell>
          <cell r="G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B40">
            <v>240583223.99000004</v>
          </cell>
          <cell r="C40">
            <v>213813496.62000006</v>
          </cell>
          <cell r="D40">
            <v>48447556.750000045</v>
          </cell>
          <cell r="E40">
            <v>0.1200316962115402</v>
          </cell>
          <cell r="F40">
            <v>0.12500186410723924</v>
          </cell>
          <cell r="G40">
            <v>0.28756215169305444</v>
          </cell>
        </row>
        <row r="42">
          <cell r="B42">
            <v>153402044.79000002</v>
          </cell>
          <cell r="C42">
            <v>126726831.04000007</v>
          </cell>
          <cell r="D42">
            <v>6288014.3100000005</v>
          </cell>
          <cell r="E42">
            <v>0.10286543963714445</v>
          </cell>
          <cell r="F42">
            <v>0.10811708517018426</v>
          </cell>
          <cell r="G42">
            <v>0.48611257195812563</v>
          </cell>
        </row>
      </sheetData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U5" sqref="U5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L86"/>
  <sheetViews>
    <sheetView showGridLines="0" topLeftCell="A25" zoomScale="120" zoomScaleNormal="120" zoomScalePageLayoutView="115" workbookViewId="0">
      <selection activeCell="E52" sqref="E5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9" width="8.28515625" style="187" customWidth="1"/>
    <col min="10" max="10" width="9.5703125" style="187" customWidth="1"/>
    <col min="11" max="11" width="11.85546875" style="187" customWidth="1"/>
    <col min="12" max="12" width="9.85546875" style="187" customWidth="1"/>
    <col min="13" max="13" width="10.85546875" style="187" customWidth="1"/>
    <col min="14" max="14" width="7.28515625" style="186" customWidth="1"/>
    <col min="15" max="25" width="11.42578125" style="186" customWidth="1"/>
    <col min="26" max="26" width="9.140625" style="186" customWidth="1"/>
    <col min="27" max="30" width="11.42578125" style="186" customWidth="1"/>
    <col min="31" max="31" width="22.28515625" style="186" customWidth="1"/>
    <col min="32" max="35" width="8.85546875" style="186"/>
    <col min="36" max="39" width="9.140625" style="186" customWidth="1"/>
    <col min="40" max="41" width="8.85546875" style="186"/>
    <col min="42" max="16384" width="8.85546875" style="187"/>
  </cols>
  <sheetData>
    <row r="1" spans="2:15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</row>
    <row r="2" spans="2:15" ht="13.5" customHeight="1">
      <c r="B2" s="188"/>
      <c r="C2" s="256" t="str">
        <f>+IF(Índice!$D$2=1,"QUADRO VIII - Execução orçamental por classificação cruzada orgânica e económica (janeiro-novembro)","TABLE VIII - Budget execution by organic and economic cross-classification (january-november)")</f>
        <v>TABLE VIII - Budget execution by organic and economic cross-classification (january-november)</v>
      </c>
      <c r="D2" s="189"/>
      <c r="E2" s="189"/>
      <c r="F2" s="189"/>
      <c r="G2" s="189"/>
      <c r="H2" s="189"/>
      <c r="I2" s="189"/>
      <c r="J2" s="189"/>
      <c r="K2" s="189"/>
      <c r="L2" s="189"/>
      <c r="M2" s="52" t="str">
        <f>+IF(Índice!$D$2=1,"€ Milhares","€ Thousands")</f>
        <v>€ Thousands</v>
      </c>
      <c r="O2" s="190" t="str">
        <f>+IF(Índice!$D$2=1,"índice","Index")</f>
        <v>Index</v>
      </c>
    </row>
    <row r="3" spans="2:15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+IF(Índice!$D$2=1,"Finanças","Finances")</f>
        <v>Finances</v>
      </c>
      <c r="H3" s="192" t="str">
        <f>+IF(Índice!$D$2=1,"Saúde e Proteção Civil","Health and Civil Protection")</f>
        <v>Health and Civil Protection</v>
      </c>
      <c r="I3" s="192" t="str">
        <f>+IF(Índice!$D$2=1,"Economia, Turismo e Cultura","Economy, Tourism and Culture")</f>
        <v>Economy, Tourism and Culture</v>
      </c>
      <c r="J3" s="192" t="str">
        <f>+IF(Índice!$D$2=1,"Agricultura, Pescas e Ambiente","Agriculture, Fisheries and  Enviroment")</f>
        <v>Agriculture, Fisheries and  Enviroment</v>
      </c>
      <c r="K3" s="192" t="str">
        <f>+IF(Índice!$D$2=1,"Equipamentos e Infraestruturas","Equipment and infrastructures")</f>
        <v>Equipment and infrastructures</v>
      </c>
      <c r="L3" s="192" t="str">
        <f>+IF(Índice!$D$2=1,"Inclusão, Trabalho e Jventude","Inclusion, Labor and Youth")</f>
        <v>Inclusion, Labor and Youth</v>
      </c>
      <c r="M3" s="193" t="s">
        <v>5</v>
      </c>
    </row>
    <row r="4" spans="2:15" ht="27" customHeight="1">
      <c r="C4" s="253" t="str">
        <f>+IF(Índice!$D$2=1,"Despesa corrente","Current expenditure")</f>
        <v>Current expenditure</v>
      </c>
      <c r="D4" s="194">
        <f>+[2]D_Est_Org_Q8!D9</f>
        <v>13851.9</v>
      </c>
      <c r="E4" s="194">
        <f>+[2]D_Est_Org_Q8!E9</f>
        <v>2214.6980599999997</v>
      </c>
      <c r="F4" s="194">
        <f>+[2]D_Est_Org_Q8!F9</f>
        <v>420980.97330000036</v>
      </c>
      <c r="G4" s="194">
        <f>+[2]D_Est_Org_Q8!G9</f>
        <v>193079.27834000002</v>
      </c>
      <c r="H4" s="194">
        <f>+[2]D_Est_Org_Q8!H9</f>
        <v>420693.44460000005</v>
      </c>
      <c r="I4" s="194">
        <f>+[2]D_Est_Org_Q8!I9</f>
        <v>37750.852859999999</v>
      </c>
      <c r="J4" s="194">
        <f>+[2]D_Est_Org_Q8!J9</f>
        <v>44334.204290000001</v>
      </c>
      <c r="K4" s="194">
        <f>+[2]D_Est_Org_Q8!K9</f>
        <v>137434.61348999999</v>
      </c>
      <c r="L4" s="194">
        <f>+[2]D_Est_Org_Q8!L9</f>
        <v>25353.299770000001</v>
      </c>
      <c r="M4" s="194">
        <f>+[2]D_Est_Org_Q8!M9</f>
        <v>1295693.2647100003</v>
      </c>
    </row>
    <row r="5" spans="2:15" ht="15" customHeight="1">
      <c r="B5" s="195"/>
      <c r="C5" s="104" t="str">
        <f>+IF(Índice!$D$2=1,"Despesas com o pessoal","Compensation of employees")</f>
        <v>Compensation of employees</v>
      </c>
      <c r="D5" s="196">
        <f>+[2]D_Est_Org_Q8!D10</f>
        <v>0</v>
      </c>
      <c r="E5" s="196">
        <f>+[2]D_Est_Org_Q8!E10</f>
        <v>1723.3903699999996</v>
      </c>
      <c r="F5" s="196">
        <f>+[2]D_Est_Org_Q8!F10</f>
        <v>328481.50168000034</v>
      </c>
      <c r="G5" s="196">
        <f>+[2]D_Est_Org_Q8!G10</f>
        <v>30561.378430000019</v>
      </c>
      <c r="H5" s="196">
        <f>+[2]D_Est_Org_Q8!H10</f>
        <v>5100.6964100000014</v>
      </c>
      <c r="I5" s="196">
        <f>+[2]D_Est_Org_Q8!I10</f>
        <v>19217.15957</v>
      </c>
      <c r="J5" s="196">
        <f>+[2]D_Est_Org_Q8!J10</f>
        <v>25326.308819999998</v>
      </c>
      <c r="K5" s="196">
        <f>+[2]D_Est_Org_Q8!K10</f>
        <v>16213.521439999995</v>
      </c>
      <c r="L5" s="196">
        <f>+[2]D_Est_Org_Q8!L10</f>
        <v>7193.7118699999992</v>
      </c>
      <c r="M5" s="196">
        <f>+[2]D_Est_Org_Q8!M10</f>
        <v>433817.66859000031</v>
      </c>
      <c r="N5" s="21"/>
    </row>
    <row r="6" spans="2:15" ht="15" customHeight="1">
      <c r="B6" s="195"/>
      <c r="C6" s="109" t="str">
        <f>+IF(Índice!$D$2=1,"Remunerações Certas e Permanentes","Certain and permanent wages")</f>
        <v>Certain and permanent wages</v>
      </c>
      <c r="D6" s="197">
        <f>+[2]D_Est_Org_Q8!D11</f>
        <v>0</v>
      </c>
      <c r="E6" s="198">
        <f>+[2]D_Est_Org_Q8!E11</f>
        <v>1359.3397599999996</v>
      </c>
      <c r="F6" s="198">
        <f>+[2]D_Est_Org_Q8!F11</f>
        <v>265967.48265000037</v>
      </c>
      <c r="G6" s="198">
        <f>+[2]D_Est_Org_Q8!G11</f>
        <v>22881.353780000019</v>
      </c>
      <c r="H6" s="198">
        <f>+[2]D_Est_Org_Q8!H11</f>
        <v>4071.4869800000015</v>
      </c>
      <c r="I6" s="198">
        <f>+[2]D_Est_Org_Q8!I11</f>
        <v>15462.518229999998</v>
      </c>
      <c r="J6" s="198">
        <f>+[2]D_Est_Org_Q8!J11</f>
        <v>20418.515539999997</v>
      </c>
      <c r="K6" s="198">
        <f>+[2]D_Est_Org_Q8!K11</f>
        <v>13041.918479999997</v>
      </c>
      <c r="L6" s="198">
        <f>+[2]D_Est_Org_Q8!L11</f>
        <v>5718.9575099999993</v>
      </c>
      <c r="M6" s="198">
        <f>+[2]D_Est_Org_Q8!M11</f>
        <v>348921.57293000031</v>
      </c>
    </row>
    <row r="7" spans="2:15" ht="15" customHeight="1">
      <c r="B7" s="195"/>
      <c r="C7" s="109" t="str">
        <f>+IF(Índice!$D$2=1,"Abonos Variáveis ou Eventuais","Variable or contingent bonuses")</f>
        <v>Variable or contingent bonuses</v>
      </c>
      <c r="D7" s="197">
        <f>+[2]D_Est_Org_Q8!D12</f>
        <v>0</v>
      </c>
      <c r="E7" s="198">
        <f>+[2]D_Est_Org_Q8!E12</f>
        <v>32.81917</v>
      </c>
      <c r="F7" s="198">
        <f>+[2]D_Est_Org_Q8!F12</f>
        <v>7779.0971899999995</v>
      </c>
      <c r="G7" s="198">
        <f>+[2]D_Est_Org_Q8!G12</f>
        <v>2693.2605699999999</v>
      </c>
      <c r="H7" s="198">
        <f>+[2]D_Est_Org_Q8!H12</f>
        <v>155.48297000000002</v>
      </c>
      <c r="I7" s="198">
        <f>+[2]D_Est_Org_Q8!I12</f>
        <v>475.83042</v>
      </c>
      <c r="J7" s="198">
        <f>+[2]D_Est_Org_Q8!J12</f>
        <v>938.59030999999993</v>
      </c>
      <c r="K7" s="198">
        <f>+[2]D_Est_Org_Q8!K12</f>
        <v>531.20250999999996</v>
      </c>
      <c r="L7" s="198">
        <f>+[2]D_Est_Org_Q8!L12</f>
        <v>314.26383000000004</v>
      </c>
      <c r="M7" s="198">
        <f>+[2]D_Est_Org_Q8!M12</f>
        <v>12920.546969999998</v>
      </c>
    </row>
    <row r="8" spans="2:15" ht="15" customHeight="1">
      <c r="B8" s="195"/>
      <c r="C8" s="109" t="str">
        <f>+IF(Índice!$D$2=1,"Segurança social","Social security")</f>
        <v>Social security</v>
      </c>
      <c r="D8" s="197">
        <f>+[2]D_Est_Org_Q8!D13</f>
        <v>0</v>
      </c>
      <c r="E8" s="198">
        <f>+[2]D_Est_Org_Q8!E13</f>
        <v>331.23144000000002</v>
      </c>
      <c r="F8" s="198">
        <f>+[2]D_Est_Org_Q8!F13</f>
        <v>54734.921839999952</v>
      </c>
      <c r="G8" s="198">
        <f>+[2]D_Est_Org_Q8!G13</f>
        <v>4986.7640800000008</v>
      </c>
      <c r="H8" s="198">
        <f>+[2]D_Est_Org_Q8!H13</f>
        <v>873.72645999999997</v>
      </c>
      <c r="I8" s="198">
        <f>+[2]D_Est_Org_Q8!I13</f>
        <v>3278.8109200000004</v>
      </c>
      <c r="J8" s="198">
        <f>+[2]D_Est_Org_Q8!J13</f>
        <v>3969.2029700000003</v>
      </c>
      <c r="K8" s="198">
        <f>+[2]D_Est_Org_Q8!K13</f>
        <v>2640.4004499999987</v>
      </c>
      <c r="L8" s="198">
        <f>+[2]D_Est_Org_Q8!L13</f>
        <v>1160.4905300000003</v>
      </c>
      <c r="M8" s="198">
        <f>+[2]D_Est_Org_Q8!M13</f>
        <v>71975.548689999952</v>
      </c>
    </row>
    <row r="9" spans="2:15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f>+[2]D_Est_Org_Q8!D14</f>
        <v>0</v>
      </c>
      <c r="E9" s="196">
        <f>+[2]D_Est_Org_Q8!E14</f>
        <v>433.05769000000004</v>
      </c>
      <c r="F9" s="196">
        <f>+[2]D_Est_Org_Q8!F14</f>
        <v>25141.499519999998</v>
      </c>
      <c r="G9" s="196">
        <f>+[2]D_Est_Org_Q8!G14</f>
        <v>34193.801949999986</v>
      </c>
      <c r="H9" s="196">
        <f>+[2]D_Est_Org_Q8!H14</f>
        <v>616.40674000000001</v>
      </c>
      <c r="I9" s="196">
        <f>+[2]D_Est_Org_Q8!I14</f>
        <v>6614.3141700000015</v>
      </c>
      <c r="J9" s="196">
        <f>+[2]D_Est_Org_Q8!J14</f>
        <v>2485.6416900000017</v>
      </c>
      <c r="K9" s="196">
        <f>+[2]D_Est_Org_Q8!K14</f>
        <v>87141.741980000006</v>
      </c>
      <c r="L9" s="196">
        <f>+[2]D_Est_Org_Q8!L14</f>
        <v>481.84548000000007</v>
      </c>
      <c r="M9" s="196">
        <f>+[2]D_Est_Org_Q8!M14</f>
        <v>157108.30921999997</v>
      </c>
    </row>
    <row r="10" spans="2:15" ht="15" customHeight="1">
      <c r="B10" s="195"/>
      <c r="C10" s="199" t="str">
        <f>IF(Índice!$D$2=1,"Aquisição de bens","Purchase of goods")</f>
        <v>Purchase of goods</v>
      </c>
      <c r="D10" s="197">
        <f>+[2]D_Est_Org_Q8!D15</f>
        <v>0</v>
      </c>
      <c r="E10" s="198">
        <f>+[2]D_Est_Org_Q8!E15</f>
        <v>86.063940000000002</v>
      </c>
      <c r="F10" s="198">
        <f>+[2]D_Est_Org_Q8!F15</f>
        <v>17902.432219999992</v>
      </c>
      <c r="G10" s="198">
        <f>+[2]D_Est_Org_Q8!G15</f>
        <v>491.96599000000009</v>
      </c>
      <c r="H10" s="198">
        <f>+[2]D_Est_Org_Q8!H15</f>
        <v>45.078789999999998</v>
      </c>
      <c r="I10" s="198">
        <f>+[2]D_Est_Org_Q8!I15</f>
        <v>1548.3859</v>
      </c>
      <c r="J10" s="198">
        <f>+[2]D_Est_Org_Q8!J15</f>
        <v>329.01247999999993</v>
      </c>
      <c r="K10" s="198">
        <f>+[2]D_Est_Org_Q8!K15</f>
        <v>1708.8385099999998</v>
      </c>
      <c r="L10" s="198">
        <f>+[2]D_Est_Org_Q8!L15</f>
        <v>50.1509</v>
      </c>
      <c r="M10" s="198">
        <f>+[2]D_Est_Org_Q8!M15</f>
        <v>22161.928729999996</v>
      </c>
    </row>
    <row r="11" spans="2:15" ht="15" customHeight="1">
      <c r="B11" s="195"/>
      <c r="C11" s="199" t="str">
        <f>IF(Índice!$D$2=1,"Aquisição de serviços","Purchase of services")</f>
        <v>Purchase of services</v>
      </c>
      <c r="D11" s="197">
        <f>+[2]D_Est_Org_Q8!D16</f>
        <v>0</v>
      </c>
      <c r="E11" s="198">
        <f>+[2]D_Est_Org_Q8!E16</f>
        <v>346.99375000000003</v>
      </c>
      <c r="F11" s="198">
        <f>+[2]D_Est_Org_Q8!F16</f>
        <v>7239.0673000000052</v>
      </c>
      <c r="G11" s="198">
        <f>+[2]D_Est_Org_Q8!G16</f>
        <v>33701.835959999989</v>
      </c>
      <c r="H11" s="198">
        <f>+[2]D_Est_Org_Q8!H16</f>
        <v>571.32794999999999</v>
      </c>
      <c r="I11" s="198">
        <f>+[2]D_Est_Org_Q8!I16</f>
        <v>5065.9282700000012</v>
      </c>
      <c r="J11" s="198">
        <f>+[2]D_Est_Org_Q8!J16</f>
        <v>2156.6292100000019</v>
      </c>
      <c r="K11" s="198">
        <f>+[2]D_Est_Org_Q8!K16</f>
        <v>85432.903470000005</v>
      </c>
      <c r="L11" s="198">
        <f>+[2]D_Est_Org_Q8!L16</f>
        <v>431.69458000000009</v>
      </c>
      <c r="M11" s="198">
        <f>+[2]D_Est_Org_Q8!M16</f>
        <v>134946.38049000001</v>
      </c>
    </row>
    <row r="12" spans="2:15" ht="15" customHeight="1">
      <c r="B12" s="195"/>
      <c r="C12" s="104" t="str">
        <f>+IF(Índice!$D$2=1,"Juros e outros encargos","Interests and other charges")</f>
        <v>Interests and other charges</v>
      </c>
      <c r="D12" s="198">
        <f>+[2]D_Est_Org_Q8!D17</f>
        <v>0</v>
      </c>
      <c r="E12" s="198">
        <f>+[2]D_Est_Org_Q8!E17</f>
        <v>0</v>
      </c>
      <c r="F12" s="198">
        <f>+[2]D_Est_Org_Q8!F17</f>
        <v>14.834019999999999</v>
      </c>
      <c r="G12" s="198">
        <f>+[2]D_Est_Org_Q8!G17</f>
        <v>118145.21432000003</v>
      </c>
      <c r="H12" s="198">
        <f>+[2]D_Est_Org_Q8!H17</f>
        <v>8.9650000000000007E-2</v>
      </c>
      <c r="I12" s="198">
        <f>+[2]D_Est_Org_Q8!I17</f>
        <v>4.9110000000000008E-2</v>
      </c>
      <c r="J12" s="198">
        <f>+[2]D_Est_Org_Q8!J17</f>
        <v>1.99E-3</v>
      </c>
      <c r="K12" s="198">
        <f>+[2]D_Est_Org_Q8!K17</f>
        <v>0</v>
      </c>
      <c r="L12" s="198">
        <f>+[2]D_Est_Org_Q8!L17</f>
        <v>0</v>
      </c>
      <c r="M12" s="198">
        <f>+[2]D_Est_Org_Q8!M17</f>
        <v>118160.18909000003</v>
      </c>
    </row>
    <row r="13" spans="2:15" ht="15" customHeight="1">
      <c r="B13" s="195"/>
      <c r="C13" s="104" t="str">
        <f>+IF(Índice!$D$2=1,"Transferências correntes","Current transfers")</f>
        <v>Current transfers</v>
      </c>
      <c r="D13" s="196">
        <f>+[2]D_Est_Org_Q8!D18</f>
        <v>13851.9</v>
      </c>
      <c r="E13" s="196">
        <f>+[2]D_Est_Org_Q8!E18</f>
        <v>58.25</v>
      </c>
      <c r="F13" s="196">
        <f>+[2]D_Est_Org_Q8!F18</f>
        <v>67298.968839999987</v>
      </c>
      <c r="G13" s="196">
        <f>+[2]D_Est_Org_Q8!G18</f>
        <v>9441.0688999999984</v>
      </c>
      <c r="H13" s="196">
        <f>+[2]D_Est_Org_Q8!H18</f>
        <v>414973.50828000001</v>
      </c>
      <c r="I13" s="196">
        <f>+[2]D_Est_Org_Q8!I18</f>
        <v>11883.700059999997</v>
      </c>
      <c r="J13" s="196">
        <f>+[2]D_Est_Org_Q8!J18</f>
        <v>14159.736150000002</v>
      </c>
      <c r="K13" s="196">
        <f>+[2]D_Est_Org_Q8!K18</f>
        <v>7952.9041199999992</v>
      </c>
      <c r="L13" s="196">
        <f>+[2]D_Est_Org_Q8!L18</f>
        <v>17677.691420000003</v>
      </c>
      <c r="M13" s="196">
        <f>+[2]D_Est_Org_Q8!M18</f>
        <v>557297.72777</v>
      </c>
    </row>
    <row r="14" spans="2:15" ht="15" customHeight="1">
      <c r="B14" s="195"/>
      <c r="C14" s="109" t="str">
        <f>IF(Índice!$D$2=1,"Administração Pública","Public Administration")</f>
        <v>Public Administration</v>
      </c>
      <c r="D14" s="200">
        <f>+[2]D_Est_Org_Q8!D19</f>
        <v>13851.9</v>
      </c>
      <c r="E14" s="200">
        <f>+[2]D_Est_Org_Q8!E19</f>
        <v>0</v>
      </c>
      <c r="F14" s="200">
        <f>+[2]D_Est_Org_Q8!F19</f>
        <v>20516.597890000001</v>
      </c>
      <c r="G14" s="200">
        <f>+[2]D_Est_Org_Q8!G19</f>
        <v>9266.7977199999987</v>
      </c>
      <c r="H14" s="200">
        <f>+[2]D_Est_Org_Q8!H19</f>
        <v>414460.33033000003</v>
      </c>
      <c r="I14" s="200">
        <f>+[2]D_Est_Org_Q8!I19</f>
        <v>0</v>
      </c>
      <c r="J14" s="200">
        <f>+[2]D_Est_Org_Q8!J19</f>
        <v>12698.543490000002</v>
      </c>
      <c r="K14" s="200">
        <f>+[2]D_Est_Org_Q8!K19</f>
        <v>7919.3866099999996</v>
      </c>
      <c r="L14" s="200">
        <f>+[2]D_Est_Org_Q8!L19</f>
        <v>4659.8195999999998</v>
      </c>
      <c r="M14" s="200">
        <f>+[2]D_Est_Org_Q8!M19</f>
        <v>483373.37564000004</v>
      </c>
    </row>
    <row r="15" spans="2:15" ht="15" customHeight="1">
      <c r="B15" s="195"/>
      <c r="C15" s="201" t="str">
        <f>IF(Índice!$D$2=1,"Administração Central","Central Administration")</f>
        <v>Central Administration</v>
      </c>
      <c r="D15" s="197">
        <f>+[2]D_Est_Org_Q8!D20</f>
        <v>0</v>
      </c>
      <c r="E15" s="198">
        <f>+[2]D_Est_Org_Q8!E20</f>
        <v>0</v>
      </c>
      <c r="F15" s="198">
        <f>+[2]D_Est_Org_Q8!F20</f>
        <v>117.78400000000001</v>
      </c>
      <c r="G15" s="198">
        <f>+[2]D_Est_Org_Q8!G20</f>
        <v>0</v>
      </c>
      <c r="H15" s="198">
        <f>+[2]D_Est_Org_Q8!H20</f>
        <v>0</v>
      </c>
      <c r="I15" s="198">
        <f>+[2]D_Est_Org_Q8!I20</f>
        <v>0</v>
      </c>
      <c r="J15" s="198">
        <f>+[2]D_Est_Org_Q8!J20</f>
        <v>0</v>
      </c>
      <c r="K15" s="198">
        <f>+[2]D_Est_Org_Q8!K20</f>
        <v>0</v>
      </c>
      <c r="L15" s="198">
        <f>+[2]D_Est_Org_Q8!L20</f>
        <v>0</v>
      </c>
      <c r="M15" s="198">
        <f>+[2]D_Est_Org_Q8!M20</f>
        <v>117.78400000000001</v>
      </c>
    </row>
    <row r="16" spans="2:15" ht="15" customHeight="1">
      <c r="B16" s="195"/>
      <c r="C16" s="201" t="str">
        <f>IF(Índice!$D$2=1,"Administração Regional","Regional Administration")</f>
        <v>Regional Administration</v>
      </c>
      <c r="D16" s="198">
        <f>+[2]D_Est_Org_Q8!D21</f>
        <v>13851.9</v>
      </c>
      <c r="E16" s="198">
        <f>+[2]D_Est_Org_Q8!E21</f>
        <v>0</v>
      </c>
      <c r="F16" s="198">
        <f>+[2]D_Est_Org_Q8!F21</f>
        <v>20398.813890000001</v>
      </c>
      <c r="G16" s="198">
        <f>+[2]D_Est_Org_Q8!G21</f>
        <v>9266.7977199999987</v>
      </c>
      <c r="H16" s="198">
        <f>+[2]D_Est_Org_Q8!H21</f>
        <v>414460.33033000003</v>
      </c>
      <c r="I16" s="198">
        <f>+[2]D_Est_Org_Q8!I21</f>
        <v>0</v>
      </c>
      <c r="J16" s="198">
        <f>+[2]D_Est_Org_Q8!J21</f>
        <v>12698.543490000002</v>
      </c>
      <c r="K16" s="198">
        <f>+[2]D_Est_Org_Q8!K21</f>
        <v>7919.3866099999996</v>
      </c>
      <c r="L16" s="198">
        <f>+[2]D_Est_Org_Q8!L21</f>
        <v>4659.8195999999998</v>
      </c>
      <c r="M16" s="198">
        <f>+[2]D_Est_Org_Q8!M21</f>
        <v>483255.59164</v>
      </c>
    </row>
    <row r="17" spans="2:13" ht="15" customHeight="1">
      <c r="B17" s="195"/>
      <c r="C17" s="201" t="str">
        <f>IF(Índice!$D$2=1,"Administração Local","Local Administration")</f>
        <v>Local Administration</v>
      </c>
      <c r="D17" s="197">
        <f>+[2]D_Est_Org_Q8!D22</f>
        <v>0</v>
      </c>
      <c r="E17" s="198">
        <f>+[2]D_Est_Org_Q8!E22</f>
        <v>0</v>
      </c>
      <c r="F17" s="198">
        <f>+[2]D_Est_Org_Q8!F22</f>
        <v>0</v>
      </c>
      <c r="G17" s="198">
        <f>+[2]D_Est_Org_Q8!G22</f>
        <v>0</v>
      </c>
      <c r="H17" s="198">
        <f>+[2]D_Est_Org_Q8!H22</f>
        <v>0</v>
      </c>
      <c r="I17" s="198">
        <f>+[2]D_Est_Org_Q8!I22</f>
        <v>0</v>
      </c>
      <c r="J17" s="198">
        <f>+[2]D_Est_Org_Q8!J22</f>
        <v>0</v>
      </c>
      <c r="K17" s="198">
        <f>+[2]D_Est_Org_Q8!K22</f>
        <v>0</v>
      </c>
      <c r="L17" s="198">
        <f>+[2]D_Est_Org_Q8!L22</f>
        <v>0</v>
      </c>
      <c r="M17" s="198">
        <f>+[2]D_Est_Org_Q8!M22</f>
        <v>0</v>
      </c>
    </row>
    <row r="18" spans="2:13" ht="15" customHeight="1">
      <c r="B18" s="195"/>
      <c r="C18" s="201" t="str">
        <f>+IF(Índice!$D$2=1,"Segurança social","Social security")</f>
        <v>Social security</v>
      </c>
      <c r="D18" s="197">
        <f>+[2]D_Est_Org_Q8!D23</f>
        <v>0</v>
      </c>
      <c r="E18" s="198">
        <f>+[2]D_Est_Org_Q8!E23</f>
        <v>0</v>
      </c>
      <c r="F18" s="198">
        <f>+[2]D_Est_Org_Q8!F23</f>
        <v>0</v>
      </c>
      <c r="G18" s="198">
        <f>+[2]D_Est_Org_Q8!G23</f>
        <v>0</v>
      </c>
      <c r="H18" s="198">
        <f>+[2]D_Est_Org_Q8!H23</f>
        <v>0</v>
      </c>
      <c r="I18" s="198">
        <f>+[2]D_Est_Org_Q8!I23</f>
        <v>0</v>
      </c>
      <c r="J18" s="198">
        <f>+[2]D_Est_Org_Q8!J23</f>
        <v>0</v>
      </c>
      <c r="K18" s="198">
        <f>+[2]D_Est_Org_Q8!K23</f>
        <v>0</v>
      </c>
      <c r="L18" s="198">
        <f>+[2]D_Est_Org_Q8!L23</f>
        <v>0</v>
      </c>
      <c r="M18" s="198">
        <f>+[2]D_Est_Org_Q8!M23</f>
        <v>0</v>
      </c>
    </row>
    <row r="19" spans="2:13" ht="15" customHeight="1">
      <c r="B19" s="195"/>
      <c r="C19" s="109" t="str">
        <f>+IF(Índice!$D$2=1,"Outras transferências correntes","Other current transfers")</f>
        <v>Other current transfers</v>
      </c>
      <c r="D19" s="200">
        <f>+[2]D_Est_Org_Q8!D24</f>
        <v>0</v>
      </c>
      <c r="E19" s="200">
        <f>+[2]D_Est_Org_Q8!E24</f>
        <v>58.25</v>
      </c>
      <c r="F19" s="200">
        <f>+[2]D_Est_Org_Q8!F24</f>
        <v>46782.370949999982</v>
      </c>
      <c r="G19" s="200">
        <f>+[2]D_Est_Org_Q8!G24</f>
        <v>174.27117999999999</v>
      </c>
      <c r="H19" s="200">
        <f>+[2]D_Est_Org_Q8!H24</f>
        <v>513.17795000000001</v>
      </c>
      <c r="I19" s="200">
        <f>+[2]D_Est_Org_Q8!I24</f>
        <v>11883.700059999997</v>
      </c>
      <c r="J19" s="200">
        <f>+[2]D_Est_Org_Q8!J24</f>
        <v>1461.1926599999999</v>
      </c>
      <c r="K19" s="200">
        <f>+[2]D_Est_Org_Q8!K24</f>
        <v>33.517509999999994</v>
      </c>
      <c r="L19" s="200">
        <f>+[2]D_Est_Org_Q8!L24</f>
        <v>13017.871820000004</v>
      </c>
      <c r="M19" s="200">
        <f>+[2]D_Est_Org_Q8!M24</f>
        <v>73924.352129999985</v>
      </c>
    </row>
    <row r="20" spans="2:13" hidden="1">
      <c r="B20" s="195"/>
      <c r="C20" s="187">
        <v>0</v>
      </c>
      <c r="D20" s="198">
        <f>+[2]D_Est_Org_Q8!D25</f>
        <v>0</v>
      </c>
      <c r="E20" s="198">
        <f>+[2]D_Est_Org_Q8!E25</f>
        <v>0</v>
      </c>
      <c r="F20" s="198">
        <f>+[2]D_Est_Org_Q8!F25</f>
        <v>14085.843319999998</v>
      </c>
      <c r="G20" s="198">
        <f>+[2]D_Est_Org_Q8!G25</f>
        <v>0</v>
      </c>
      <c r="H20" s="198">
        <f>+[2]D_Est_Org_Q8!H25</f>
        <v>0</v>
      </c>
      <c r="I20" s="198">
        <f>+[2]D_Est_Org_Q8!I25</f>
        <v>427.02500000000003</v>
      </c>
      <c r="J20" s="198">
        <f>+[2]D_Est_Org_Q8!J25</f>
        <v>2.3198000000000003</v>
      </c>
      <c r="K20" s="198">
        <f>+[2]D_Est_Org_Q8!K25</f>
        <v>6.2210799999999997</v>
      </c>
      <c r="L20" s="198">
        <f>+[2]D_Est_Org_Q8!L25</f>
        <v>0</v>
      </c>
      <c r="M20" s="198">
        <f>+[2]D_Est_Org_Q8!M25</f>
        <v>14521.409199999996</v>
      </c>
    </row>
    <row r="21" spans="2:13" hidden="1">
      <c r="B21" s="195"/>
      <c r="C21" s="104">
        <v>0</v>
      </c>
      <c r="D21" s="198">
        <f>+[2]D_Est_Org_Q8!D26</f>
        <v>0</v>
      </c>
      <c r="E21" s="198">
        <f>+[2]D_Est_Org_Q8!E26</f>
        <v>0</v>
      </c>
      <c r="F21" s="198">
        <f>+[2]D_Est_Org_Q8!F26</f>
        <v>0</v>
      </c>
      <c r="G21" s="198">
        <f>+[2]D_Est_Org_Q8!G26</f>
        <v>0</v>
      </c>
      <c r="H21" s="198">
        <f>+[2]D_Est_Org_Q8!H26</f>
        <v>0</v>
      </c>
      <c r="I21" s="198">
        <f>+[2]D_Est_Org_Q8!I26</f>
        <v>0</v>
      </c>
      <c r="J21" s="198">
        <f>+[2]D_Est_Org_Q8!J26</f>
        <v>0</v>
      </c>
      <c r="K21" s="198">
        <f>+[2]D_Est_Org_Q8!K26</f>
        <v>0</v>
      </c>
      <c r="L21" s="198">
        <f>+[2]D_Est_Org_Q8!L26</f>
        <v>0</v>
      </c>
      <c r="M21" s="198">
        <f>+[2]D_Est_Org_Q8!M26</f>
        <v>0</v>
      </c>
    </row>
    <row r="22" spans="2:13" hidden="1">
      <c r="B22" s="195"/>
      <c r="C22" s="104">
        <v>0</v>
      </c>
      <c r="D22" s="198">
        <f>+[2]D_Est_Org_Q8!D27</f>
        <v>0</v>
      </c>
      <c r="E22" s="198">
        <f>+[2]D_Est_Org_Q8!E27</f>
        <v>24.5</v>
      </c>
      <c r="F22" s="198">
        <f>+[2]D_Est_Org_Q8!F27</f>
        <v>27543.100689999985</v>
      </c>
      <c r="G22" s="198">
        <f>+[2]D_Est_Org_Q8!G27</f>
        <v>35.892970000000005</v>
      </c>
      <c r="H22" s="198">
        <f>+[2]D_Est_Org_Q8!H27</f>
        <v>491.25</v>
      </c>
      <c r="I22" s="198">
        <f>+[2]D_Est_Org_Q8!I27</f>
        <v>11182.744479999998</v>
      </c>
      <c r="J22" s="198">
        <f>+[2]D_Est_Org_Q8!J27</f>
        <v>1361.08393</v>
      </c>
      <c r="K22" s="198">
        <f>+[2]D_Est_Org_Q8!K27</f>
        <v>0</v>
      </c>
      <c r="L22" s="198">
        <f>+[2]D_Est_Org_Q8!L27</f>
        <v>9028.8919400000032</v>
      </c>
      <c r="M22" s="198">
        <f>+[2]D_Est_Org_Q8!M27</f>
        <v>49667.464009999989</v>
      </c>
    </row>
    <row r="23" spans="2:13" hidden="1">
      <c r="B23" s="195"/>
      <c r="C23" s="104">
        <v>0</v>
      </c>
      <c r="D23" s="198">
        <f>+[2]D_Est_Org_Q8!D28</f>
        <v>0</v>
      </c>
      <c r="E23" s="198">
        <f>+[2]D_Est_Org_Q8!E28</f>
        <v>0</v>
      </c>
      <c r="F23" s="198">
        <f>+[2]D_Est_Org_Q8!F28</f>
        <v>5153.4269399999994</v>
      </c>
      <c r="G23" s="198">
        <f>+[2]D_Est_Org_Q8!G28</f>
        <v>118.89420999999999</v>
      </c>
      <c r="H23" s="198">
        <f>+[2]D_Est_Org_Q8!H28</f>
        <v>21.927949999999999</v>
      </c>
      <c r="I23" s="198">
        <f>+[2]D_Est_Org_Q8!I28</f>
        <v>244.65215000000001</v>
      </c>
      <c r="J23" s="198">
        <f>+[2]D_Est_Org_Q8!J28</f>
        <v>97.788929999999993</v>
      </c>
      <c r="K23" s="198">
        <f>+[2]D_Est_Org_Q8!K28</f>
        <v>27.296429999999997</v>
      </c>
      <c r="L23" s="198">
        <f>+[2]D_Est_Org_Q8!L28</f>
        <v>3988.9798800000003</v>
      </c>
      <c r="M23" s="198">
        <f>+[2]D_Est_Org_Q8!M28</f>
        <v>9652.9664900000007</v>
      </c>
    </row>
    <row r="24" spans="2:13" hidden="1">
      <c r="B24" s="195"/>
      <c r="C24" s="187">
        <v>0</v>
      </c>
      <c r="D24" s="198">
        <f>+[2]D_Est_Org_Q8!D29</f>
        <v>0</v>
      </c>
      <c r="E24" s="198">
        <f>+[2]D_Est_Org_Q8!E29</f>
        <v>33.75</v>
      </c>
      <c r="F24" s="198">
        <f>+[2]D_Est_Org_Q8!F29</f>
        <v>0</v>
      </c>
      <c r="G24" s="198">
        <f>+[2]D_Est_Org_Q8!G29</f>
        <v>19.484000000000002</v>
      </c>
      <c r="H24" s="198">
        <f>+[2]D_Est_Org_Q8!H29</f>
        <v>0</v>
      </c>
      <c r="I24" s="198">
        <f>+[2]D_Est_Org_Q8!I29</f>
        <v>29.27843</v>
      </c>
      <c r="J24" s="198">
        <f>+[2]D_Est_Org_Q8!J29</f>
        <v>0</v>
      </c>
      <c r="K24" s="198">
        <f>+[2]D_Est_Org_Q8!K29</f>
        <v>0</v>
      </c>
      <c r="L24" s="198">
        <f>+[2]D_Est_Org_Q8!L29</f>
        <v>0</v>
      </c>
      <c r="M24" s="198">
        <f>+[2]D_Est_Org_Q8!M29</f>
        <v>82.512429999999995</v>
      </c>
    </row>
    <row r="25" spans="2:13" ht="15" customHeight="1">
      <c r="B25" s="195"/>
      <c r="C25" s="104" t="str">
        <f>+IF(Índice!$D$2=1,"Subsídios","Subsidies")</f>
        <v>Subsidies</v>
      </c>
      <c r="D25" s="198">
        <f>+[2]D_Est_Org_Q8!D30</f>
        <v>0</v>
      </c>
      <c r="E25" s="198">
        <f>+[2]D_Est_Org_Q8!E30</f>
        <v>0</v>
      </c>
      <c r="F25" s="198">
        <f>+[2]D_Est_Org_Q8!F30</f>
        <v>0</v>
      </c>
      <c r="G25" s="198">
        <f>+[2]D_Est_Org_Q8!G30</f>
        <v>0</v>
      </c>
      <c r="H25" s="198">
        <f>+[2]D_Est_Org_Q8!H30</f>
        <v>0</v>
      </c>
      <c r="I25" s="198">
        <f>+[2]D_Est_Org_Q8!I30</f>
        <v>0</v>
      </c>
      <c r="J25" s="198">
        <f>+[2]D_Est_Org_Q8!J30</f>
        <v>2311.0969500000001</v>
      </c>
      <c r="K25" s="198">
        <f>+[2]D_Est_Org_Q8!K30</f>
        <v>26091.001819999998</v>
      </c>
      <c r="L25" s="198">
        <f>+[2]D_Est_Org_Q8!L30</f>
        <v>0</v>
      </c>
      <c r="M25" s="198">
        <f>+[2]D_Est_Org_Q8!M30</f>
        <v>28402.098769999997</v>
      </c>
    </row>
    <row r="26" spans="2:13" ht="15" customHeight="1">
      <c r="B26" s="195"/>
      <c r="C26" s="104" t="str">
        <f>+IF(Índice!$D$2=1,"Outras despesas correntes","Other current expenditures")</f>
        <v>Other current expenditures</v>
      </c>
      <c r="D26" s="198">
        <f>+[2]D_Est_Org_Q8!D31</f>
        <v>0</v>
      </c>
      <c r="E26" s="198">
        <f>+[2]D_Est_Org_Q8!E31</f>
        <v>0</v>
      </c>
      <c r="F26" s="198">
        <f>+[2]D_Est_Org_Q8!F31</f>
        <v>44.169239999999988</v>
      </c>
      <c r="G26" s="198">
        <f>+[2]D_Est_Org_Q8!G31</f>
        <v>737.81474000000003</v>
      </c>
      <c r="H26" s="198">
        <f>+[2]D_Est_Org_Q8!H31</f>
        <v>2.7435200000000002</v>
      </c>
      <c r="I26" s="198">
        <f>+[2]D_Est_Org_Q8!I31</f>
        <v>35.629949999999994</v>
      </c>
      <c r="J26" s="198">
        <f>+[2]D_Est_Org_Q8!J31</f>
        <v>51.418690000000005</v>
      </c>
      <c r="K26" s="198">
        <f>+[2]D_Est_Org_Q8!K31</f>
        <v>35.444130000000001</v>
      </c>
      <c r="L26" s="198">
        <f>+[2]D_Est_Org_Q8!L31</f>
        <v>5.0999999999999997E-2</v>
      </c>
      <c r="M26" s="198">
        <f>+[2]D_Est_Org_Q8!M31</f>
        <v>907.27126999999996</v>
      </c>
    </row>
    <row r="27" spans="2:13" ht="24.95" customHeight="1">
      <c r="B27" s="195"/>
      <c r="C27" s="202" t="str">
        <f>+IF(Índice!$D$2=1,"Despesa de capital","Capital expenditure")</f>
        <v>Capital expenditure</v>
      </c>
      <c r="D27" s="32">
        <f>+[2]D_Est_Org_Q8!D32</f>
        <v>70</v>
      </c>
      <c r="E27" s="32">
        <f>+[2]D_Est_Org_Q8!E32</f>
        <v>5.25298</v>
      </c>
      <c r="F27" s="32">
        <f>+[2]D_Est_Org_Q8!F32</f>
        <v>6806.5363300000008</v>
      </c>
      <c r="G27" s="32">
        <f>+[2]D_Est_Org_Q8!G32</f>
        <v>12351.733709999997</v>
      </c>
      <c r="H27" s="32">
        <f>+[2]D_Est_Org_Q8!H32</f>
        <v>1061.8904499999999</v>
      </c>
      <c r="I27" s="32">
        <f>+[2]D_Est_Org_Q8!I32</f>
        <v>658.53162999999995</v>
      </c>
      <c r="J27" s="32">
        <f>+[2]D_Est_Org_Q8!J32</f>
        <v>12527.002709999999</v>
      </c>
      <c r="K27" s="32">
        <f>+[2]D_Est_Org_Q8!K32</f>
        <v>90981.378200000036</v>
      </c>
      <c r="L27" s="32">
        <f>+[2]D_Est_Org_Q8!L32</f>
        <v>7878.621149999999</v>
      </c>
      <c r="M27" s="32">
        <f>+[2]D_Est_Org_Q8!M32</f>
        <v>132340.94716000004</v>
      </c>
    </row>
    <row r="28" spans="2:13" ht="15" customHeight="1">
      <c r="B28" s="195"/>
      <c r="C28" s="104" t="str">
        <f>+IF(Índice!$D$2=1,"Investimento","Investment")</f>
        <v>Investment</v>
      </c>
      <c r="D28" s="198">
        <f>+[2]D_Est_Org_Q8!D33</f>
        <v>0</v>
      </c>
      <c r="E28" s="198">
        <f>+[2]D_Est_Org_Q8!E33</f>
        <v>5.25298</v>
      </c>
      <c r="F28" s="198">
        <f>+[2]D_Est_Org_Q8!F33</f>
        <v>2788.2444400000013</v>
      </c>
      <c r="G28" s="198">
        <f>+[2]D_Est_Org_Q8!G33</f>
        <v>9230.2103599999973</v>
      </c>
      <c r="H28" s="198">
        <f>+[2]D_Est_Org_Q8!H33</f>
        <v>13.70707</v>
      </c>
      <c r="I28" s="198">
        <f>+[2]D_Est_Org_Q8!I33</f>
        <v>495.61507</v>
      </c>
      <c r="J28" s="198">
        <f>+[2]D_Est_Org_Q8!J33</f>
        <v>1829.9350700000002</v>
      </c>
      <c r="K28" s="198">
        <f>+[2]D_Est_Org_Q8!K33</f>
        <v>78035.662530000031</v>
      </c>
      <c r="L28" s="198">
        <f>+[2]D_Est_Org_Q8!L33</f>
        <v>80.194960000000009</v>
      </c>
      <c r="M28" s="198">
        <f>+[2]D_Est_Org_Q8!M33</f>
        <v>92478.822480000017</v>
      </c>
    </row>
    <row r="29" spans="2:13" ht="15" customHeight="1">
      <c r="C29" s="104" t="str">
        <f>+IF(Índice!$D$2=1,"Transferências capital","Capital transfers")</f>
        <v>Capital transfers</v>
      </c>
      <c r="D29" s="196">
        <f>+[2]D_Est_Org_Q8!D34</f>
        <v>70</v>
      </c>
      <c r="E29" s="196">
        <f>+[2]D_Est_Org_Q8!E34</f>
        <v>0</v>
      </c>
      <c r="F29" s="196">
        <f>+[2]D_Est_Org_Q8!F34</f>
        <v>4018.29189</v>
      </c>
      <c r="G29" s="196">
        <f>+[2]D_Est_Org_Q8!G34</f>
        <v>3121.5233499999995</v>
      </c>
      <c r="H29" s="196">
        <f>+[2]D_Est_Org_Q8!H34</f>
        <v>1048.1833799999999</v>
      </c>
      <c r="I29" s="196">
        <f>+[2]D_Est_Org_Q8!I34</f>
        <v>162.91656</v>
      </c>
      <c r="J29" s="196">
        <f>+[2]D_Est_Org_Q8!J34</f>
        <v>10697.067639999999</v>
      </c>
      <c r="K29" s="196">
        <f>+[2]D_Est_Org_Q8!K34</f>
        <v>12945.71567</v>
      </c>
      <c r="L29" s="196">
        <f>+[2]D_Est_Org_Q8!L34</f>
        <v>7798.4261899999992</v>
      </c>
      <c r="M29" s="196">
        <f>+[2]D_Est_Org_Q8!M34</f>
        <v>39862.124679999994</v>
      </c>
    </row>
    <row r="30" spans="2:13" ht="15" customHeight="1">
      <c r="C30" s="109" t="str">
        <f>IF(Índice!$D$2=1,"Administração Pública","Public Administration")</f>
        <v>Public Administration</v>
      </c>
      <c r="D30" s="200">
        <f>+[2]D_Est_Org_Q8!D35</f>
        <v>70</v>
      </c>
      <c r="E30" s="200">
        <f>+[2]D_Est_Org_Q8!E35</f>
        <v>0</v>
      </c>
      <c r="F30" s="200">
        <f>+[2]D_Est_Org_Q8!F35</f>
        <v>2273.7797999999998</v>
      </c>
      <c r="G30" s="200">
        <f>+[2]D_Est_Org_Q8!G35</f>
        <v>3092.9073099999996</v>
      </c>
      <c r="H30" s="200">
        <f>+[2]D_Est_Org_Q8!H35</f>
        <v>1010.7890099999998</v>
      </c>
      <c r="I30" s="200">
        <f>+[2]D_Est_Org_Q8!I35</f>
        <v>0</v>
      </c>
      <c r="J30" s="200">
        <f>+[2]D_Est_Org_Q8!J35</f>
        <v>10274.567949999999</v>
      </c>
      <c r="K30" s="200">
        <f>+[2]D_Est_Org_Q8!K35</f>
        <v>12945.71567</v>
      </c>
      <c r="L30" s="200">
        <f>+[2]D_Est_Org_Q8!L35</f>
        <v>14.782200000000001</v>
      </c>
      <c r="M30" s="200">
        <f>+[2]D_Est_Org_Q8!M35</f>
        <v>29682.541939999996</v>
      </c>
    </row>
    <row r="31" spans="2:13" ht="15" customHeight="1">
      <c r="C31" s="201" t="str">
        <f>IF(Índice!$D$2=1,"Administração Central","Central Administration")</f>
        <v>Central Administration</v>
      </c>
      <c r="D31" s="198">
        <f>+[2]D_Est_Org_Q8!D36</f>
        <v>0</v>
      </c>
      <c r="E31" s="198">
        <f>+[2]D_Est_Org_Q8!E36</f>
        <v>0</v>
      </c>
      <c r="F31" s="198">
        <f>+[2]D_Est_Org_Q8!F36</f>
        <v>0</v>
      </c>
      <c r="G31" s="198">
        <f>+[2]D_Est_Org_Q8!G36</f>
        <v>0</v>
      </c>
      <c r="H31" s="198">
        <f>+[2]D_Est_Org_Q8!H36</f>
        <v>0</v>
      </c>
      <c r="I31" s="198">
        <f>+[2]D_Est_Org_Q8!I36</f>
        <v>0</v>
      </c>
      <c r="J31" s="198">
        <f>+[2]D_Est_Org_Q8!J36</f>
        <v>10137.75088</v>
      </c>
      <c r="K31" s="198">
        <f>+[2]D_Est_Org_Q8!K36</f>
        <v>0</v>
      </c>
      <c r="L31" s="198">
        <f>+[2]D_Est_Org_Q8!L36</f>
        <v>0</v>
      </c>
      <c r="M31" s="198">
        <f>+[2]D_Est_Org_Q8!M36</f>
        <v>10137.75088</v>
      </c>
    </row>
    <row r="32" spans="2:13" ht="15" customHeight="1">
      <c r="C32" s="201" t="str">
        <f>IF(Índice!$D$2=1,"Administração Regional","Regional Administration")</f>
        <v>Regional Administration</v>
      </c>
      <c r="D32" s="198">
        <f>+[2]D_Est_Org_Q8!D37</f>
        <v>70</v>
      </c>
      <c r="E32" s="198">
        <f>+[2]D_Est_Org_Q8!E37</f>
        <v>0</v>
      </c>
      <c r="F32" s="198">
        <f>+[2]D_Est_Org_Q8!F37</f>
        <v>2273.7797999999998</v>
      </c>
      <c r="G32" s="198">
        <f>+[2]D_Est_Org_Q8!G37</f>
        <v>1838.5730299999998</v>
      </c>
      <c r="H32" s="198">
        <f>+[2]D_Est_Org_Q8!H37</f>
        <v>1010.7890099999998</v>
      </c>
      <c r="I32" s="198">
        <f>+[2]D_Est_Org_Q8!I37</f>
        <v>0</v>
      </c>
      <c r="J32" s="198">
        <f>+[2]D_Est_Org_Q8!J37</f>
        <v>136.81707</v>
      </c>
      <c r="K32" s="198">
        <f>+[2]D_Est_Org_Q8!K37</f>
        <v>12945.71567</v>
      </c>
      <c r="L32" s="198">
        <f>+[2]D_Est_Org_Q8!L37</f>
        <v>14.782200000000001</v>
      </c>
      <c r="M32" s="198">
        <f>+[2]D_Est_Org_Q8!M37</f>
        <v>18290.45678</v>
      </c>
    </row>
    <row r="33" spans="1:168" ht="15" customHeight="1">
      <c r="C33" s="201" t="str">
        <f>IF(Índice!$D$2=1,"Administração Local","Local Administration")</f>
        <v>Local Administration</v>
      </c>
      <c r="D33" s="198">
        <f>+[2]D_Est_Org_Q8!D38</f>
        <v>0</v>
      </c>
      <c r="E33" s="198">
        <f>+[2]D_Est_Org_Q8!E38</f>
        <v>0</v>
      </c>
      <c r="F33" s="198">
        <f>+[2]D_Est_Org_Q8!F38</f>
        <v>0</v>
      </c>
      <c r="G33" s="198">
        <f>+[2]D_Est_Org_Q8!G38</f>
        <v>1254.33428</v>
      </c>
      <c r="H33" s="198">
        <f>+[2]D_Est_Org_Q8!H38</f>
        <v>0</v>
      </c>
      <c r="I33" s="198">
        <f>+[2]D_Est_Org_Q8!I38</f>
        <v>0</v>
      </c>
      <c r="J33" s="198">
        <f>+[2]D_Est_Org_Q8!J38</f>
        <v>0</v>
      </c>
      <c r="K33" s="198">
        <f>+[2]D_Est_Org_Q8!K38</f>
        <v>0</v>
      </c>
      <c r="L33" s="198">
        <f>+[2]D_Est_Org_Q8!L38</f>
        <v>0</v>
      </c>
      <c r="M33" s="198">
        <f>+[2]D_Est_Org_Q8!M38</f>
        <v>1254.33428</v>
      </c>
    </row>
    <row r="34" spans="1:168" ht="15" customHeight="1">
      <c r="C34" s="201" t="str">
        <f>+IF(Índice!$D$2=1,"Segurança social","Social security")</f>
        <v>Social security</v>
      </c>
      <c r="D34" s="198">
        <f>+[2]D_Est_Org_Q8!D39</f>
        <v>0</v>
      </c>
      <c r="E34" s="198">
        <f>+[2]D_Est_Org_Q8!E39</f>
        <v>0</v>
      </c>
      <c r="F34" s="198">
        <f>+[2]D_Est_Org_Q8!F39</f>
        <v>0</v>
      </c>
      <c r="G34" s="198">
        <f>+[2]D_Est_Org_Q8!G39</f>
        <v>0</v>
      </c>
      <c r="H34" s="198">
        <f>+[2]D_Est_Org_Q8!H39</f>
        <v>0</v>
      </c>
      <c r="I34" s="198">
        <f>+[2]D_Est_Org_Q8!I39</f>
        <v>0</v>
      </c>
      <c r="J34" s="198">
        <f>+[2]D_Est_Org_Q8!J39</f>
        <v>0</v>
      </c>
      <c r="K34" s="198">
        <f>+[2]D_Est_Org_Q8!K39</f>
        <v>0</v>
      </c>
      <c r="L34" s="198">
        <f>+[2]D_Est_Org_Q8!L39</f>
        <v>0</v>
      </c>
      <c r="M34" s="198">
        <f>+[2]D_Est_Org_Q8!M39</f>
        <v>0</v>
      </c>
    </row>
    <row r="35" spans="1:168" ht="15" customHeight="1">
      <c r="C35" s="109" t="str">
        <f>+IF(Índice!$D$2=1,"Outras transferências de capital","Other capital transfers")</f>
        <v>Other capital transfers</v>
      </c>
      <c r="D35" s="200">
        <f>+[2]D_Est_Org_Q8!D40</f>
        <v>0</v>
      </c>
      <c r="E35" s="200">
        <f>+[2]D_Est_Org_Q8!E40</f>
        <v>0</v>
      </c>
      <c r="F35" s="200">
        <f>+[2]D_Est_Org_Q8!F40</f>
        <v>1744.5120900000002</v>
      </c>
      <c r="G35" s="200">
        <f>+[2]D_Est_Org_Q8!G40</f>
        <v>28.616039999999998</v>
      </c>
      <c r="H35" s="200">
        <f>+[2]D_Est_Org_Q8!H40</f>
        <v>37.394370000000002</v>
      </c>
      <c r="I35" s="200">
        <f>+[2]D_Est_Org_Q8!I40</f>
        <v>162.91656</v>
      </c>
      <c r="J35" s="200">
        <f>+[2]D_Est_Org_Q8!J40</f>
        <v>422.49968999999999</v>
      </c>
      <c r="K35" s="200">
        <f>+[2]D_Est_Org_Q8!K40</f>
        <v>0</v>
      </c>
      <c r="L35" s="200">
        <f>+[2]D_Est_Org_Q8!L40</f>
        <v>7783.6439899999996</v>
      </c>
      <c r="M35" s="200">
        <f>+[2]D_Est_Org_Q8!M40</f>
        <v>10179.58274</v>
      </c>
    </row>
    <row r="36" spans="1:168" ht="15" customHeight="1">
      <c r="C36" s="132" t="s">
        <v>10</v>
      </c>
      <c r="D36" s="203">
        <f>+[2]D_Est_Org_Q8!D46</f>
        <v>0</v>
      </c>
      <c r="E36" s="203">
        <f>+[2]D_Est_Org_Q8!E46</f>
        <v>0</v>
      </c>
      <c r="F36" s="203">
        <f>+[2]D_Est_Org_Q8!F46</f>
        <v>0</v>
      </c>
      <c r="G36" s="203">
        <f>+[2]D_Est_Org_Q8!G46</f>
        <v>0</v>
      </c>
      <c r="H36" s="203">
        <f>+[2]D_Est_Org_Q8!H46</f>
        <v>0</v>
      </c>
      <c r="I36" s="203">
        <f>+[2]D_Est_Org_Q8!I46</f>
        <v>0</v>
      </c>
      <c r="J36" s="203">
        <f>+[2]D_Est_Org_Q8!J46</f>
        <v>0</v>
      </c>
      <c r="K36" s="203">
        <f>+[2]D_Est_Org_Q8!K46</f>
        <v>0</v>
      </c>
      <c r="L36" s="203">
        <f>+[2]D_Est_Org_Q8!L46</f>
        <v>0</v>
      </c>
      <c r="M36" s="203">
        <f>+[2]D_Est_Org_Q8!M46</f>
        <v>0</v>
      </c>
    </row>
    <row r="37" spans="1:168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</row>
    <row r="38" spans="1:168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f>+[2]D_Est_Org_Q8!D48</f>
        <v>13921.9</v>
      </c>
      <c r="E38" s="204">
        <f>+[2]D_Est_Org_Q8!E48</f>
        <v>2219.9510399999999</v>
      </c>
      <c r="F38" s="204">
        <f>+[2]D_Est_Org_Q8!F48</f>
        <v>427787.50963000034</v>
      </c>
      <c r="G38" s="204">
        <f>+[2]D_Est_Org_Q8!G48</f>
        <v>205431.01205000002</v>
      </c>
      <c r="H38" s="204">
        <f>+[2]D_Est_Org_Q8!H48</f>
        <v>421755.33505000005</v>
      </c>
      <c r="I38" s="204">
        <f>+[2]D_Est_Org_Q8!I48</f>
        <v>38409.384489999997</v>
      </c>
      <c r="J38" s="204">
        <f>+[2]D_Est_Org_Q8!J48</f>
        <v>56861.207000000002</v>
      </c>
      <c r="K38" s="204">
        <f>+[2]D_Est_Org_Q8!K48</f>
        <v>228415.99169000002</v>
      </c>
      <c r="L38" s="204">
        <f>+[2]D_Est_Org_Q8!L48</f>
        <v>33231.920920000004</v>
      </c>
      <c r="M38" s="204">
        <f>+[2]D_Est_Org_Q8!M48</f>
        <v>1428034.2118700005</v>
      </c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</row>
    <row r="39" spans="1:168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</row>
    <row r="40" spans="1:168">
      <c r="C40" s="207" t="str">
        <f>+IF(Índice!$D$2=1,"Ativos financeiros","Financial assets")</f>
        <v>Financial assets</v>
      </c>
      <c r="D40" s="208">
        <f>+[2]D_Est_Org_Q8!D50</f>
        <v>0</v>
      </c>
      <c r="E40" s="208">
        <f>+[2]D_Est_Org_Q8!E50</f>
        <v>0</v>
      </c>
      <c r="F40" s="208">
        <f>+[2]D_Est_Org_Q8!F50</f>
        <v>0</v>
      </c>
      <c r="G40" s="208">
        <f>+[2]D_Est_Org_Q8!G50</f>
        <v>0</v>
      </c>
      <c r="H40" s="208">
        <f>+[2]D_Est_Org_Q8!H50</f>
        <v>0</v>
      </c>
      <c r="I40" s="208">
        <f>+[2]D_Est_Org_Q8!I50</f>
        <v>0</v>
      </c>
      <c r="J40" s="208">
        <f>+[2]D_Est_Org_Q8!J50</f>
        <v>141.374</v>
      </c>
      <c r="K40" s="208">
        <f>+[2]D_Est_Org_Q8!K50</f>
        <v>14116.67483</v>
      </c>
      <c r="L40" s="208">
        <f>+[2]D_Est_Org_Q8!L50</f>
        <v>0</v>
      </c>
      <c r="M40" s="208">
        <f>+[2]D_Est_Org_Q8!M50</f>
        <v>14258.04883</v>
      </c>
    </row>
    <row r="41" spans="1:168">
      <c r="C41" s="209" t="str">
        <f>+IF(Índice!$D$2=1,"Passivos financeiros","Financial liabilities")</f>
        <v>Financial liabilities</v>
      </c>
      <c r="D41" s="200">
        <f>+[2]D_Est_Org_Q8!D51</f>
        <v>0</v>
      </c>
      <c r="E41" s="200">
        <f>+[2]D_Est_Org_Q8!E51</f>
        <v>0</v>
      </c>
      <c r="F41" s="200">
        <f>+[2]D_Est_Org_Q8!F51</f>
        <v>0</v>
      </c>
      <c r="G41" s="200">
        <f>+[2]D_Est_Org_Q8!G51</f>
        <v>233330.28303999998</v>
      </c>
      <c r="H41" s="200">
        <f>+[2]D_Est_Org_Q8!H51</f>
        <v>0</v>
      </c>
      <c r="I41" s="200">
        <f>+[2]D_Est_Org_Q8!I51</f>
        <v>0</v>
      </c>
      <c r="J41" s="200">
        <f>+[2]D_Est_Org_Q8!J51</f>
        <v>0</v>
      </c>
      <c r="K41" s="200">
        <f>+[2]D_Est_Org_Q8!K51</f>
        <v>0</v>
      </c>
      <c r="L41" s="200">
        <f>+[2]D_Est_Org_Q8!L51</f>
        <v>0</v>
      </c>
      <c r="M41" s="200">
        <f>+[2]D_Est_Org_Q8!M51</f>
        <v>233330.28303999998</v>
      </c>
    </row>
    <row r="42" spans="1:168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</row>
    <row r="43" spans="1:168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</row>
    <row r="44" spans="1:168" ht="31.5" customHeight="1">
      <c r="C44" s="212" t="str">
        <f>+IF(Índice!$D$2=1,"Operações extraorçamentais","Extra-budgetary operations")</f>
        <v>Extra-budgetary operations</v>
      </c>
      <c r="D44" s="213">
        <f>+[2]D_Est_Org_Q8!D54</f>
        <v>0</v>
      </c>
      <c r="E44" s="213">
        <f>+[2]D_Est_Org_Q8!E54</f>
        <v>0</v>
      </c>
      <c r="F44" s="213">
        <f>+[2]D_Est_Org_Q8!F54</f>
        <v>0</v>
      </c>
      <c r="G44" s="213">
        <f>+[2]D_Est_Org_Q8!G54</f>
        <v>0</v>
      </c>
      <c r="H44" s="213">
        <f>+[2]D_Est_Org_Q8!H54</f>
        <v>0</v>
      </c>
      <c r="I44" s="213">
        <f>+[2]D_Est_Org_Q8!I54</f>
        <v>0</v>
      </c>
      <c r="J44" s="213">
        <f>+[2]D_Est_Org_Q8!J54</f>
        <v>0</v>
      </c>
      <c r="K44" s="213">
        <f>+[2]D_Est_Org_Q8!K54</f>
        <v>0</v>
      </c>
      <c r="L44" s="213">
        <f>+[2]D_Est_Org_Q8!L54</f>
        <v>0</v>
      </c>
      <c r="M44" s="213">
        <f>+[2]D_Est_Org_Q8!M54</f>
        <v>145406.92653</v>
      </c>
    </row>
    <row r="45" spans="1:168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</row>
    <row r="46" spans="1:168">
      <c r="C46" s="334" t="str">
        <f>+IF(Índice!$D$2=1,"Fonte: Secretaria Regional das Finanças","Source: Regional Finance Secretariat")</f>
        <v>Source: Regional Finance Secretariat</v>
      </c>
      <c r="D46" s="334" t="str">
        <f>+IF(Índice!$D$2="PT","Fonte: Vice-Presidência do Governo Regional","Source: Vice-Presidency of the Regional Government")</f>
        <v>Source: Vice-Presidency of the Regional Government</v>
      </c>
      <c r="E46" s="334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</row>
    <row r="47" spans="1:168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</row>
    <row r="48" spans="1:168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</row>
    <row r="49" spans="3:13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</row>
    <row r="50" spans="3:13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</row>
    <row r="51" spans="3:13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</row>
    <row r="52" spans="3:13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</row>
    <row r="53" spans="3:13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</row>
    <row r="54" spans="3:13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</row>
    <row r="55" spans="3:13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</row>
    <row r="56" spans="3:13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</row>
    <row r="57" spans="3:13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</row>
    <row r="58" spans="3:13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</row>
    <row r="59" spans="3:13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</row>
    <row r="60" spans="3:13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</row>
    <row r="61" spans="3:13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</row>
    <row r="62" spans="3:13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</row>
    <row r="63" spans="3:13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</row>
    <row r="64" spans="3:13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</row>
    <row r="65" spans="3:13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</row>
    <row r="66" spans="3:13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</row>
    <row r="67" spans="3:13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</row>
    <row r="68" spans="3:13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</row>
    <row r="69" spans="3:13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</row>
    <row r="70" spans="3:13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</row>
    <row r="71" spans="3:13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</row>
    <row r="72" spans="3:13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</row>
    <row r="73" spans="3:13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</row>
    <row r="74" spans="3:13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</row>
    <row r="75" spans="3:13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</row>
    <row r="76" spans="3:13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</row>
    <row r="77" spans="3:13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</row>
    <row r="78" spans="3:13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</row>
    <row r="79" spans="3:13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</row>
    <row r="80" spans="3:13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</row>
    <row r="81" spans="3:13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</row>
    <row r="82" spans="3:13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</row>
    <row r="83" spans="3:13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</row>
    <row r="84" spans="3:13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</row>
    <row r="85" spans="3:13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</row>
    <row r="86" spans="3:13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O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E52" sqref="E5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(janeiro-novembro)","TABLE IX - RPEs global balance (january-november)")</f>
        <v>TABLE IX - RPEs global balance (january-november)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f>+'[2]Saldo_Global EPR_Q9'!C5</f>
        <v>-3684.2919299998321</v>
      </c>
      <c r="E5" s="82">
        <f>+'[2]Saldo_Global EPR_Q9'!D5</f>
        <v>6971.9255099997972</v>
      </c>
    </row>
    <row r="6" spans="2:7">
      <c r="B6" s="29"/>
      <c r="C6" s="103"/>
      <c r="D6" s="103"/>
      <c r="E6" s="103"/>
    </row>
    <row r="7" spans="2:7">
      <c r="B7" s="29"/>
      <c r="C7" s="334" t="str">
        <f>+IF(Índice!$D$2=1,"Fonte: Secretaria Regional das Finanças","Source: Regional Finance Secretariat")</f>
        <v>Source: Regional Finance Secretariat</v>
      </c>
      <c r="D7" s="334" t="str">
        <f>+IF(Índice!$D$2="PT","Fonte: Vice-Presidência do Governo Regional","Source: Vice-Presidency of the Regional Government")</f>
        <v>Source: Vice-Presidency of the Regional Government</v>
      </c>
      <c r="E7" s="334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E52" sqref="E5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5" t="str">
        <f>+IF(Índice!$D$2=1,"QUADRO X - Execução orçamental dos Serviços e Fundos Autónomos e EPR (janeiro-novembro)","TABLE X - ASFs and RPEs budget execution (january-november)")</f>
        <v>TABLE X - ASFs and RPEs budget execution (january-november)</v>
      </c>
      <c r="D2" s="336"/>
      <c r="E2" s="336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f>+'[2]SFA acumulado_Q10_11'!D84</f>
        <v>21784.802710000309</v>
      </c>
      <c r="E4" s="98">
        <f>+'[2]SFA acumulado_Q10_11'!E84</f>
        <v>6971.9255099997972</v>
      </c>
      <c r="F4" s="98">
        <f>+'[2]SFA acumulado_Q10_11'!F84</f>
        <v>28756.728220000106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f>+'[2]SFA acumulado_Q10_11'!D87</f>
        <v>514655.45067999966</v>
      </c>
      <c r="E7" s="74">
        <f>+'[2]SFA acumulado_Q10_11'!E87</f>
        <v>433009.55797000014</v>
      </c>
      <c r="F7" s="74">
        <f>+'[2]SFA acumulado_Q10_11'!F87</f>
        <v>947665.00864999974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f>+'[2]SFA acumulado_Q10_11'!D88</f>
        <v>21806.149260000308</v>
      </c>
      <c r="E8" s="74">
        <f>+'[2]SFA acumulado_Q10_11'!E88</f>
        <v>8482.9098099997973</v>
      </c>
      <c r="F8" s="74">
        <f>+'[2]SFA acumulado_Q10_11'!F88</f>
        <v>30289.059070000105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f>+'[2]SFA acumulado_Q10_11'!D89</f>
        <v>18782.572960000369</v>
      </c>
      <c r="E9" s="74">
        <f>+'[2]SFA acumulado_Q10_11'!E89</f>
        <v>6692.5056999997469</v>
      </c>
      <c r="F9" s="74">
        <f>+'[2]SFA acumulado_Q10_11'!F89</f>
        <v>25475.078660000116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f>+'[2]SFA acumulado_Q10_11'!D90</f>
        <v>3002.2297500000013</v>
      </c>
      <c r="E10" s="74">
        <f>+'[2]SFA acumulado_Q10_11'!E90</f>
        <v>279.41981000000669</v>
      </c>
      <c r="F10" s="74">
        <f>+'[2]SFA acumulado_Q10_11'!F90</f>
        <v>3281.6495600000053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4" t="str">
        <f>+IF(Índice!$D$2=1,"Fonte: Secretaria Regional das Finanças","Source: Regional Finance Secretariat")</f>
        <v>Source: Regional Finance Secretariat</v>
      </c>
      <c r="D12" s="334" t="str">
        <f>+IF(Índice!$D$2="PT","Fonte: Vice-Presidência do Governo Regional","Source: Vice-Presidency of the Regional Government")</f>
        <v>Source: Vice-Presidency of the Regional Government</v>
      </c>
      <c r="E12" s="334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topLeftCell="A11" zoomScale="120" zoomScaleNormal="120" zoomScalePageLayoutView="115" workbookViewId="0">
      <selection activeCell="E52" sqref="E5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(janeiro-novembro)","TABLE XI - ASFs and RPEs budget execution (january-november)")</f>
        <v>TABLE XI - ASFs and RPEs budget execution (january-november)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f>+'[2]SFA acumulado_Q10_11'!D7</f>
        <v>529200.37196000002</v>
      </c>
      <c r="E4" s="108">
        <f>+'[2]SFA acumulado_Q10_11'!E7</f>
        <v>379280.65918999992</v>
      </c>
      <c r="F4" s="108">
        <f>+'[2]SFA acumulado_Q10_11'!F7</f>
        <v>908481.03114999994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f>+'[2]SFA acumulado_Q10_11'!D8</f>
        <v>0</v>
      </c>
      <c r="E5" s="74">
        <f>+'[2]SFA acumulado_Q10_11'!E8</f>
        <v>0</v>
      </c>
      <c r="F5" s="74">
        <f>+'[2]SFA acumulado_Q10_11'!F8</f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f>+'[2]SFA acumulado_Q10_11'!D9</f>
        <v>0</v>
      </c>
      <c r="E6" s="74">
        <f>+'[2]SFA acumulado_Q10_11'!E9</f>
        <v>0</v>
      </c>
      <c r="F6" s="74">
        <f>+'[2]SFA acumulado_Q10_11'!F9</f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f>+'[2]SFA acumulado_Q10_11'!D10</f>
        <v>0</v>
      </c>
      <c r="E7" s="74">
        <f>+'[2]SFA acumulado_Q10_11'!E10</f>
        <v>0</v>
      </c>
      <c r="F7" s="74">
        <f>+'[2]SFA acumulado_Q10_11'!F10</f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f>+'[2]SFA acumulado_Q10_11'!D11</f>
        <v>4232.3491099999983</v>
      </c>
      <c r="E8" s="74">
        <f>+'[2]SFA acumulado_Q10_11'!E11</f>
        <v>7587.0509700000021</v>
      </c>
      <c r="F8" s="74">
        <f>+'[2]SFA acumulado_Q10_11'!F11</f>
        <v>11819.400079999999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f>+'[2]SFA acumulado_Q10_11'!D12</f>
        <v>518944.12167000002</v>
      </c>
      <c r="E9" s="74">
        <f>+'[2]SFA acumulado_Q10_11'!E12</f>
        <v>337388.85441999993</v>
      </c>
      <c r="F9" s="74">
        <f>+'[2]SFA acumulado_Q10_11'!F12</f>
        <v>856332.97609000001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f>+'[2]SFA acumulado_Q10_11'!D13</f>
        <v>37497.323759999992</v>
      </c>
      <c r="E10" s="74">
        <f>+'[2]SFA acumulado_Q10_11'!E13</f>
        <v>3844.3818099999994</v>
      </c>
      <c r="F10" s="74">
        <f>+'[2]SFA acumulado_Q10_11'!F13</f>
        <v>41341.705569999991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f>+'[2]SFA acumulado_Q10_11'!D14</f>
        <v>479932.87461</v>
      </c>
      <c r="E11" s="74">
        <f>+'[2]SFA acumulado_Q10_11'!E14</f>
        <v>333534.18195999996</v>
      </c>
      <c r="F11" s="74">
        <f>+'[2]SFA acumulado_Q10_11'!F14</f>
        <v>813467.05657000002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f>+'[2]SFA acumulado_Q10_11'!D15</f>
        <v>5149.5769999999993</v>
      </c>
      <c r="E12" s="74">
        <f>+'[2]SFA acumulado_Q10_11'!E15</f>
        <v>15500.239680000002</v>
      </c>
      <c r="F12" s="74">
        <f>+'[2]SFA acumulado_Q10_11'!F15</f>
        <v>20649.816680000004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f>+'[2]SFA acumulado_Q10_11'!D16</f>
        <v>874.32418000000007</v>
      </c>
      <c r="E13" s="74">
        <f>+'[2]SFA acumulado_Q10_11'!E16</f>
        <v>18804.514119999996</v>
      </c>
      <c r="F13" s="74">
        <f>+'[2]SFA acumulado_Q10_11'!F16</f>
        <v>19678.838299999996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f>+'[2]SFA acumulado_Q10_11'!D17</f>
        <v>7261.2279800000015</v>
      </c>
      <c r="E14" s="83">
        <f>+'[2]SFA acumulado_Q10_11'!E17</f>
        <v>62211.808590000001</v>
      </c>
      <c r="F14" s="83">
        <f>+'[2]SFA acumulado_Q10_11'!F17</f>
        <v>69473.036569999997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f>+'[2]SFA acumulado_Q10_11'!D18</f>
        <v>0</v>
      </c>
      <c r="E15" s="34">
        <f>+'[2]SFA acumulado_Q10_11'!E18</f>
        <v>881.47902999999997</v>
      </c>
      <c r="F15" s="34">
        <f>+'[2]SFA acumulado_Q10_11'!F18</f>
        <v>881.47902999999997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f>+'[2]SFA acumulado_Q10_11'!D19</f>
        <v>7217.1768100000018</v>
      </c>
      <c r="E16" s="34">
        <f>+'[2]SFA acumulado_Q10_11'!E19</f>
        <v>60587.598060000004</v>
      </c>
      <c r="F16" s="74">
        <f>+'[2]SFA acumulado_Q10_11'!F19</f>
        <v>67804.774870000008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f>+'[2]SFA acumulado_Q10_11'!D20</f>
        <v>4866.6215499999998</v>
      </c>
      <c r="E17" s="34">
        <f>+'[2]SFA acumulado_Q10_11'!E20</f>
        <v>43535.344520000006</v>
      </c>
      <c r="F17" s="74">
        <f>+'[2]SFA acumulado_Q10_11'!F20</f>
        <v>48401.966070000009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f>+'[2]SFA acumulado_Q10_11'!D21</f>
        <v>2350.5552600000019</v>
      </c>
      <c r="E18" s="74">
        <f>+'[2]SFA acumulado_Q10_11'!E21</f>
        <v>17052.253539999998</v>
      </c>
      <c r="F18" s="74">
        <f>+'[2]SFA acumulado_Q10_11'!F21</f>
        <v>19402.808799999999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f>+'[2]SFA acumulado_Q10_11'!D22</f>
        <v>0</v>
      </c>
      <c r="E19" s="74">
        <f>+'[2]SFA acumulado_Q10_11'!E22</f>
        <v>628.70791000000008</v>
      </c>
      <c r="F19" s="74">
        <f>+'[2]SFA acumulado_Q10_11'!F22</f>
        <v>628.70791000000008</v>
      </c>
    </row>
    <row r="20" spans="2:6" ht="11.25" customHeight="1">
      <c r="C20" s="110" t="str">
        <f>+IF(Índice!$D$2=1,"Receita efetiva","Effective revenue")</f>
        <v>Effective revenue</v>
      </c>
      <c r="D20" s="83">
        <f>+'[2]SFA acumulado_Q10_11'!D32</f>
        <v>536461.59993999999</v>
      </c>
      <c r="E20" s="83">
        <f>+'[2]SFA acumulado_Q10_11'!E32</f>
        <v>441492.46777999995</v>
      </c>
      <c r="F20" s="83">
        <f>+'[2]SFA acumulado_Q10_11'!F32</f>
        <v>977954.06771999993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f>+'[2]SFA acumulado_Q10_11'!D34</f>
        <v>510417.79899999965</v>
      </c>
      <c r="E22" s="83">
        <f>+'[2]SFA acumulado_Q10_11'!E34</f>
        <v>372588.15349000017</v>
      </c>
      <c r="F22" s="83">
        <f>+'[2]SFA acumulado_Q10_11'!F34</f>
        <v>883005.95248999982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f>+'[2]SFA acumulado_Q10_11'!D35</f>
        <v>53851.478440000035</v>
      </c>
      <c r="E23" s="74">
        <f>+'[2]SFA acumulado_Q10_11'!E35</f>
        <v>241027.01085000005</v>
      </c>
      <c r="F23" s="74">
        <f>+'[2]SFA acumulado_Q10_11'!F35</f>
        <v>294878.48929000006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f>+'[2]SFA acumulado_Q10_11'!D36</f>
        <v>92055.961139999956</v>
      </c>
      <c r="E24" s="74">
        <f>+'[2]SFA acumulado_Q10_11'!E36</f>
        <v>116461.85667000011</v>
      </c>
      <c r="F24" s="74">
        <f>+'[2]SFA acumulado_Q10_11'!F36</f>
        <v>208517.81781000007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f>+'[2]SFA acumulado_Q10_11'!D37</f>
        <v>21.346550000000001</v>
      </c>
      <c r="E25" s="74">
        <f>+'[2]SFA acumulado_Q10_11'!E37</f>
        <v>1510.9843000000001</v>
      </c>
      <c r="F25" s="74">
        <f>+'[2]SFA acumulado_Q10_11'!F37</f>
        <v>1532.3308500000001</v>
      </c>
    </row>
    <row r="26" spans="2:6" ht="11.25" customHeight="1">
      <c r="C26" s="104" t="str">
        <f>+IF(Índice!$D$2=1,"Transferências correntes","Current transfers")</f>
        <v>Current transfers</v>
      </c>
      <c r="D26" s="74">
        <f>+'[2]SFA acumulado_Q10_11'!D38</f>
        <v>358611.84261999972</v>
      </c>
      <c r="E26" s="74">
        <f>+'[2]SFA acumulado_Q10_11'!E38</f>
        <v>12100.827069999996</v>
      </c>
      <c r="F26" s="74">
        <f>+'[2]SFA acumulado_Q10_11'!F38</f>
        <v>370712.66968999972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f>+'[2]SFA acumulado_Q10_11'!D39</f>
        <v>2331.5140200000001</v>
      </c>
      <c r="E27" s="74">
        <f>+'[2]SFA acumulado_Q10_11'!E39</f>
        <v>0</v>
      </c>
      <c r="F27" s="59">
        <f>+'[2]SFA acumulado_Q10_11'!F39</f>
        <v>2331.5140200000001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f>+'[2]SFA acumulado_Q10_11'!D40</f>
        <v>356280.32859999972</v>
      </c>
      <c r="E28" s="74">
        <f>+'[2]SFA acumulado_Q10_11'!E40</f>
        <v>12100.827069999996</v>
      </c>
      <c r="F28" s="59">
        <f>+'[2]SFA acumulado_Q10_11'!F40</f>
        <v>368381.15566999972</v>
      </c>
    </row>
    <row r="29" spans="2:6" ht="11.25" customHeight="1">
      <c r="C29" s="104" t="str">
        <f>+IF(Índice!$D$2=1,"Subsídios","Subsidies")</f>
        <v>Subsidies</v>
      </c>
      <c r="D29" s="74">
        <f>+'[2]SFA acumulado_Q10_11'!D41</f>
        <v>5713.1233999999995</v>
      </c>
      <c r="E29" s="74">
        <f>+'[2]SFA acumulado_Q10_11'!E41</f>
        <v>0</v>
      </c>
      <c r="F29" s="74">
        <f>+'[2]SFA acumulado_Q10_11'!F41</f>
        <v>5713.1233999999995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f>+'[2]SFA acumulado_Q10_11'!D42</f>
        <v>164.04684999999995</v>
      </c>
      <c r="E30" s="74">
        <f>+'[2]SFA acumulado_Q10_11'!E42</f>
        <v>1487.4745999999998</v>
      </c>
      <c r="F30" s="74">
        <f>+'[2]SFA acumulado_Q10_11'!F42</f>
        <v>1651.5214499999997</v>
      </c>
    </row>
    <row r="31" spans="2:6" ht="11.25" customHeight="1">
      <c r="C31" s="110" t="str">
        <f>+IF(Índice!$D$2=1,"Despesa de capital","Capital expenditure")</f>
        <v>Capital expenditure</v>
      </c>
      <c r="D31" s="83">
        <f>+'[2]SFA acumulado_Q10_11'!D43</f>
        <v>4258.9982300000001</v>
      </c>
      <c r="E31" s="83">
        <f>+'[2]SFA acumulado_Q10_11'!E43</f>
        <v>61932.388779999994</v>
      </c>
      <c r="F31" s="83">
        <f>+'[2]SFA acumulado_Q10_11'!F43</f>
        <v>66191.387009999991</v>
      </c>
    </row>
    <row r="32" spans="2:6" ht="11.25" customHeight="1">
      <c r="C32" s="104" t="str">
        <f>+IF(Índice!$D$2=1,"Investimento","Investment")</f>
        <v>Investment</v>
      </c>
      <c r="D32" s="74">
        <f>+'[2]SFA acumulado_Q10_11'!D44</f>
        <v>1710.4326000000003</v>
      </c>
      <c r="E32" s="74">
        <f>+'[2]SFA acumulado_Q10_11'!E44</f>
        <v>58872.823489999995</v>
      </c>
      <c r="F32" s="74">
        <f>+'[2]SFA acumulado_Q10_11'!F44</f>
        <v>60583.256089999995</v>
      </c>
    </row>
    <row r="33" spans="3:6" ht="11.25" customHeight="1">
      <c r="C33" s="104" t="str">
        <f>+IF(Índice!$D$2=1,"Transferências capital","Capital transfers")</f>
        <v>Capital transfers</v>
      </c>
      <c r="D33" s="74">
        <f>+'[2]SFA acumulado_Q10_11'!D45</f>
        <v>2548.5656299999996</v>
      </c>
      <c r="E33" s="74">
        <f>+'[2]SFA acumulado_Q10_11'!E45</f>
        <v>3059.56529</v>
      </c>
      <c r="F33" s="74">
        <f>+'[2]SFA acumulado_Q10_11'!F45</f>
        <v>5608.1309199999996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f>+'[2]SFA acumulado_Q10_11'!D46</f>
        <v>0</v>
      </c>
      <c r="E34" s="59">
        <f>+'[2]SFA acumulado_Q10_11'!E46</f>
        <v>0</v>
      </c>
      <c r="F34" s="59">
        <f>+'[2]SFA acumulado_Q10_11'!F46</f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f>+'[2]SFA acumulado_Q10_11'!D48</f>
        <v>514676.79722999968</v>
      </c>
      <c r="E36" s="83">
        <f>+'[2]SFA acumulado_Q10_11'!E48</f>
        <v>434520.54227000015</v>
      </c>
      <c r="F36" s="83">
        <f>+'[2]SFA acumulado_Q10_11'!F48</f>
        <v>949197.33949999977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f>+'[2]SFA acumulado_Q10_11'!D50</f>
        <v>6167.0650600000008</v>
      </c>
      <c r="E38" s="35">
        <f>+'[2]SFA acumulado_Q10_11'!E50</f>
        <v>634.32416000000001</v>
      </c>
      <c r="F38" s="35">
        <f>+'[2]SFA acumulado_Q10_11'!F50</f>
        <v>6801.3892200000009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f>+'[2]SFA acumulado_Q10_11'!D51</f>
        <v>0</v>
      </c>
      <c r="E39" s="35">
        <f>+'[2]SFA acumulado_Q10_11'!E51</f>
        <v>12499.664860000001</v>
      </c>
      <c r="F39" s="35">
        <f>+'[2]SFA acumulado_Q10_11'!F51</f>
        <v>12499.664860000001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f>+'[2]SFA acumulado_Q10_11'!D52</f>
        <v>0</v>
      </c>
      <c r="E40" s="35">
        <f>+'[2]SFA acumulado_Q10_11'!E52</f>
        <v>0</v>
      </c>
      <c r="F40" s="35">
        <f>+'[2]SFA acumulado_Q10_11'!F52</f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f>+'[2]SFA acumulado_Q10_11'!D56</f>
        <v>21784.802710000309</v>
      </c>
      <c r="E44" s="114">
        <f>+'[2]SFA acumulado_Q10_11'!E56</f>
        <v>6971.9255099997972</v>
      </c>
      <c r="F44" s="114">
        <f>+'[2]SFA acumulado_Q10_11'!F56</f>
        <v>28756.728220000106</v>
      </c>
    </row>
    <row r="45" spans="3:6" ht="15" customHeight="1">
      <c r="C45" s="334" t="str">
        <f>+IF(Índice!$D$2=1,"Fonte: Secretaria Regional das Finanças","Source: Regional Finance Secretariat")</f>
        <v>Source: Regional Finance Secretariat</v>
      </c>
      <c r="D45" s="334" t="str">
        <f>+IF(Índice!$D$2="PT","Fonte: Vice-Presidência do Governo Regional","Source: Vice-Presidency of the Regional Government")</f>
        <v>Source: Vice-Presidency of the Regional Government</v>
      </c>
      <c r="E45" s="334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topLeftCell="A13" zoomScale="120" zoomScaleNormal="120" zoomScalePageLayoutView="115" workbookViewId="0">
      <selection activeCell="E52" sqref="E5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(novembro)","TABLE XII - ASFs and RPEs budget execution (november)")</f>
        <v>TABLE XII - ASFs and RPEs budget execution (november)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+IF(Índice!$D$2=1,"maio 2024","may 2024")</f>
        <v>may 2024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f>+'[2]SFA+EPR mensal-acumulado_Q12'!D6</f>
        <v>61527.252690000081</v>
      </c>
      <c r="E5" s="317">
        <f>+'[2]SFA+EPR mensal-acumulado_Q12'!E6</f>
        <v>45314.489390000075</v>
      </c>
      <c r="F5" s="317">
        <f>+'[2]SFA+EPR mensal-acumulado_Q12'!F6</f>
        <v>106841.74208000016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f>+'[2]SFA+EPR mensal-acumulado_Q12'!D7</f>
        <v>0</v>
      </c>
      <c r="E6" s="74">
        <f>+'[2]SFA+EPR mensal-acumulado_Q12'!E7</f>
        <v>0</v>
      </c>
      <c r="F6" s="74">
        <f>+'[2]SFA+EPR mensal-acumulado_Q12'!F7</f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f>+'[2]SFA+EPR mensal-acumulado_Q12'!D8</f>
        <v>0</v>
      </c>
      <c r="E7" s="74">
        <f>+'[2]SFA+EPR mensal-acumulado_Q12'!E8</f>
        <v>0</v>
      </c>
      <c r="F7" s="74">
        <f>+'[2]SFA+EPR mensal-acumulado_Q12'!F8</f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f>+'[2]SFA+EPR mensal-acumulado_Q12'!D9</f>
        <v>0</v>
      </c>
      <c r="E8" s="74">
        <f>+'[2]SFA+EPR mensal-acumulado_Q12'!E9</f>
        <v>0</v>
      </c>
      <c r="F8" s="74">
        <f>+'[2]SFA+EPR mensal-acumulado_Q12'!F9</f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f>+'[2]SFA+EPR mensal-acumulado_Q12'!D10</f>
        <v>61527.252690000081</v>
      </c>
      <c r="E9" s="74">
        <f>+'[2]SFA+EPR mensal-acumulado_Q12'!E10</f>
        <v>45314.489390000075</v>
      </c>
      <c r="F9" s="74">
        <f>+'[2]SFA+EPR mensal-acumulado_Q12'!F10</f>
        <v>106841.74208000016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f>+'[2]SFA+EPR mensal-acumulado_Q12'!D11</f>
        <v>60589.98704000008</v>
      </c>
      <c r="E10" s="74">
        <f>+'[2]SFA+EPR mensal-acumulado_Q12'!E11</f>
        <v>42307.303800000074</v>
      </c>
      <c r="F10" s="74">
        <f>+'[2]SFA+EPR mensal-acumulado_Q12'!F11</f>
        <v>102897.29084000015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f>+'[2]SFA+EPR mensal-acumulado_Q12'!D12</f>
        <v>575.67764000000159</v>
      </c>
      <c r="E11" s="83">
        <f>+'[2]SFA+EPR mensal-acumulado_Q12'!E12</f>
        <v>25636.887180000005</v>
      </c>
      <c r="F11" s="83">
        <f>+'[2]SFA+EPR mensal-acumulado_Q12'!F12</f>
        <v>26212.564820000007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f>+'[2]SFA+EPR mensal-acumulado_Q12'!D13</f>
        <v>0</v>
      </c>
      <c r="E12" s="34">
        <f>+'[2]SFA+EPR mensal-acumulado_Q12'!E13</f>
        <v>645.19999999999993</v>
      </c>
      <c r="F12" s="34">
        <f>+'[2]SFA+EPR mensal-acumulado_Q12'!F13</f>
        <v>645.19999999999993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f>+'[2]SFA+EPR mensal-acumulado_Q12'!D14</f>
        <v>575.37164000000155</v>
      </c>
      <c r="E13" s="34">
        <f>+'[2]SFA+EPR mensal-acumulado_Q12'!E14</f>
        <v>24965.299230000004</v>
      </c>
      <c r="F13" s="74">
        <f>+'[2]SFA+EPR mensal-acumulado_Q12'!F14</f>
        <v>25540.670870000005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f>+'[2]SFA+EPR mensal-acumulado_Q12'!D16</f>
        <v>62102.930330000083</v>
      </c>
      <c r="E15" s="83">
        <f>+'[2]SFA+EPR mensal-acumulado_Q12'!E16</f>
        <v>70951.37657000008</v>
      </c>
      <c r="F15" s="83">
        <f>+'[2]SFA+EPR mensal-acumulado_Q12'!F16</f>
        <v>133054.30690000017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f>+'[2]SFA+EPR mensal-acumulado_Q12'!D17</f>
        <v>58749.163469999876</v>
      </c>
      <c r="E17" s="83">
        <f>+'[2]SFA+EPR mensal-acumulado_Q12'!E17</f>
        <v>55123.613840000173</v>
      </c>
      <c r="F17" s="83">
        <f>+'[2]SFA+EPR mensal-acumulado_Q12'!F17</f>
        <v>113872.77731000005</v>
      </c>
    </row>
    <row r="18" spans="3:6" ht="11.25" customHeight="1">
      <c r="C18" s="104" t="str">
        <f>+IF(Índice!$D$2=1,"Consumo público","Public consumption")</f>
        <v>Public consumption</v>
      </c>
      <c r="D18" s="74">
        <f>+'[2]SFA+EPR mensal-acumulado_Q12'!D18</f>
        <v>14086.498709999993</v>
      </c>
      <c r="E18" s="74">
        <f>+'[2]SFA+EPR mensal-acumulado_Q12'!E18</f>
        <v>53766.153930000175</v>
      </c>
      <c r="F18" s="74">
        <f>+'[2]SFA+EPR mensal-acumulado_Q12'!F18</f>
        <v>67852.65264000016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f>+'[2]SFA+EPR mensal-acumulado_Q12'!D19</f>
        <v>7535.3360700000676</v>
      </c>
      <c r="E19" s="74">
        <f>+'[2]SFA+EPR mensal-acumulado_Q12'!E19</f>
        <v>24381.693570000112</v>
      </c>
      <c r="F19" s="74">
        <f>+'[2]SFA+EPR mensal-acumulado_Q12'!F19</f>
        <v>31917.029640000179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f>+'[2]SFA+EPR mensal-acumulado_Q12'!D20</f>
        <v>6551.162639999925</v>
      </c>
      <c r="E20" s="74">
        <f>+'[2]SFA+EPR mensal-acumulado_Q12'!E20</f>
        <v>29384.460360000059</v>
      </c>
      <c r="F20" s="74">
        <f>+'[2]SFA+EPR mensal-acumulado_Q12'!F20</f>
        <v>35935.622999999985</v>
      </c>
    </row>
    <row r="21" spans="3:6" ht="11.25" customHeight="1">
      <c r="C21" s="104" t="str">
        <f>+IF(Índice!$D$2=1,"Subsídios","Subsidies")</f>
        <v>Subsidies</v>
      </c>
      <c r="D21" s="74">
        <f>+'[2]SFA+EPR mensal-acumulado_Q12'!D21</f>
        <v>515.59993999999949</v>
      </c>
      <c r="E21" s="74">
        <f>+'[2]SFA+EPR mensal-acumulado_Q12'!E21</f>
        <v>0</v>
      </c>
      <c r="F21" s="74">
        <f>+'[2]SFA+EPR mensal-acumulado_Q12'!F21</f>
        <v>515.59993999999949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f>+'[2]SFA+EPR mensal-acumulado_Q12'!D22</f>
        <v>0.10083000000000175</v>
      </c>
      <c r="E22" s="74">
        <f>+'[2]SFA+EPR mensal-acumulado_Q12'!E22</f>
        <v>239.31443999999971</v>
      </c>
      <c r="F22" s="59">
        <f>+'[2]SFA+EPR mensal-acumulado_Q12'!F22</f>
        <v>239.41526999999971</v>
      </c>
    </row>
    <row r="23" spans="3:6" ht="11.25" customHeight="1">
      <c r="C23" s="109" t="str">
        <f>+IF(Índice!$D$2=1,"Transferências correntes","Current transfers")</f>
        <v>Current transfers</v>
      </c>
      <c r="D23" s="74">
        <f>+'[2]SFA+EPR mensal-acumulado_Q12'!D23</f>
        <v>44146.963989999887</v>
      </c>
      <c r="E23" s="74">
        <f>+'[2]SFA+EPR mensal-acumulado_Q12'!E23</f>
        <v>1118.1454699999988</v>
      </c>
      <c r="F23" s="59">
        <f>+'[2]SFA+EPR mensal-acumulado_Q12'!F23</f>
        <v>45265.109459999883</v>
      </c>
    </row>
    <row r="24" spans="3:6" ht="11.25" customHeight="1">
      <c r="C24" s="110" t="str">
        <f>+IF(Índice!$D$2=1,"Despesa de capital","Capital expenditure")</f>
        <v>Capital expenditure</v>
      </c>
      <c r="D24" s="83">
        <f>+'[2]SFA+EPR mensal-acumulado_Q12'!D24</f>
        <v>171.7321200000008</v>
      </c>
      <c r="E24" s="83">
        <f>+'[2]SFA+EPR mensal-acumulado_Q12'!E24</f>
        <v>27062.043469999979</v>
      </c>
      <c r="F24" s="83">
        <f>+'[2]SFA+EPR mensal-acumulado_Q12'!F24</f>
        <v>27233.775589999979</v>
      </c>
    </row>
    <row r="25" spans="3:6" ht="11.25" customHeight="1">
      <c r="C25" s="104" t="str">
        <f>+IF(Índice!$D$2=1,"Investimento","Investment")</f>
        <v>Investment</v>
      </c>
      <c r="D25" s="74">
        <f>+'[2]SFA+EPR mensal-acumulado_Q12'!D25</f>
        <v>171.48212000000035</v>
      </c>
      <c r="E25" s="74">
        <f>+'[2]SFA+EPR mensal-acumulado_Q12'!E25</f>
        <v>26907.043469999979</v>
      </c>
      <c r="F25" s="74">
        <f>+'[2]SFA+EPR mensal-acumulado_Q12'!F25</f>
        <v>27078.525589999979</v>
      </c>
    </row>
    <row r="26" spans="3:6" ht="11.25" customHeight="1">
      <c r="C26" s="104" t="str">
        <f>+IF(Índice!$D$2=1,"Transferências capital","Capital transfers")</f>
        <v>Capital transfers</v>
      </c>
      <c r="D26" s="74">
        <f>+'[2]SFA+EPR mensal-acumulado_Q12'!D26</f>
        <v>0.25000000000046568</v>
      </c>
      <c r="E26" s="74">
        <f>+'[2]SFA+EPR mensal-acumulado_Q12'!E26</f>
        <v>155</v>
      </c>
      <c r="F26" s="74">
        <f>+'[2]SFA+EPR mensal-acumulado_Q12'!F26</f>
        <v>155.25000000000045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f>+'[2]SFA+EPR mensal-acumulado_Q12'!D27</f>
        <v>0</v>
      </c>
      <c r="E27" s="59">
        <f>+'[2]SFA+EPR mensal-acumulado_Q12'!E27</f>
        <v>0</v>
      </c>
      <c r="F27" s="59">
        <f>+'[2]SFA+EPR mensal-acumulado_Q12'!F27</f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f>+'[2]SFA+EPR mensal-acumulado_Q12'!D29</f>
        <v>58920.895589999876</v>
      </c>
      <c r="E29" s="83">
        <f>+'[2]SFA+EPR mensal-acumulado_Q12'!E29</f>
        <v>82185.657310000155</v>
      </c>
      <c r="F29" s="83">
        <f>+'[2]SFA+EPR mensal-acumulado_Q12'!F29</f>
        <v>141106.55290000004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f>+'[2]SFA+EPR mensal-acumulado_Q12'!D31</f>
        <v>3182.0347400002065</v>
      </c>
      <c r="E31" s="319">
        <f>+'[2]SFA+EPR mensal-acumulado_Q12'!E31</f>
        <v>-11234.280740000075</v>
      </c>
      <c r="F31" s="319">
        <f>+'[2]SFA+EPR mensal-acumulado_Q12'!F31</f>
        <v>-8052.2459999998682</v>
      </c>
    </row>
    <row r="32" spans="3:6" ht="15" customHeight="1">
      <c r="C32" s="334" t="str">
        <f>+IF(Índice!$D$2=1,"Fonte: Secretaria Regional das Finanças","Source: Regional Finance Secretariat")</f>
        <v>Source: Regional Finance Secretariat</v>
      </c>
      <c r="D32" s="334"/>
      <c r="E32" s="334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E52" sqref="E5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novembro de 2024 (valores acumulados)","Table XIII- Accounts payable of the Regional Administration, november (accumulated)")</f>
        <v>Table XIII- Accounts payable of the Regional Administration, november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40" t="s">
        <v>7</v>
      </c>
      <c r="D3" s="337" t="str">
        <f>+IF(Índice!$D$2=1,"novembro 2024","november 2024")</f>
        <v>november 2024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44" t="str">
        <f>+IF(Índice!$D$2=1,"Variação face ao stock inicial de janeiro","Change from period initial stock")</f>
        <v>Change from period initial stock</v>
      </c>
      <c r="H3" s="345"/>
      <c r="I3" s="345"/>
    </row>
    <row r="4" spans="2:11" ht="12.75" customHeight="1">
      <c r="C4" s="340"/>
      <c r="D4" s="352" t="str">
        <f>+IF(Índice!$D$2=1,"Stock final do período","Accumulated")</f>
        <v>Accumulated</v>
      </c>
      <c r="E4" s="352"/>
      <c r="F4" s="352"/>
      <c r="G4" s="349" t="str">
        <f>+IF(Índice!$D$2=1,"Passivo","Liabilities")</f>
        <v>Liabilities</v>
      </c>
      <c r="H4" s="349" t="str">
        <f>+IF(Índice!$D$2=1,"Contas a pagar","Accounts payable")</f>
        <v>Accounts payable</v>
      </c>
      <c r="I4" s="338" t="str">
        <f>+IF(Índice!$D$2=1,"Pagamentos em atraso","Late payments")</f>
        <v>Late payments</v>
      </c>
    </row>
    <row r="5" spans="2:11" ht="22.5">
      <c r="B5" s="29"/>
      <c r="C5" s="340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50"/>
      <c r="H5" s="350"/>
      <c r="I5" s="339"/>
    </row>
    <row r="6" spans="2:11">
      <c r="B6" s="29"/>
      <c r="C6" s="119" t="str">
        <f>+IF(Índice!$D$2=1,"Despesa corrente","Current expenditure")</f>
        <v>Current expenditure</v>
      </c>
      <c r="D6" s="162">
        <f>+[2]Compromissos_Q15_16_17_18!B29</f>
        <v>200266494.15000004</v>
      </c>
      <c r="E6" s="162">
        <f>+[2]Compromissos_Q15_16_17_18!C29</f>
        <v>188589681.29000008</v>
      </c>
      <c r="F6" s="162">
        <f>+[2]Compromissos_Q15_16_17_18!D29</f>
        <v>48305427.310000047</v>
      </c>
      <c r="G6" s="91">
        <f>+[2]Compromissos_Q15_16_17_18!E29</f>
        <v>0.19091242246027806</v>
      </c>
      <c r="H6" s="91">
        <f>+[2]Compromissos_Q15_16_17_18!F29</f>
        <v>0.18923185691475286</v>
      </c>
      <c r="I6" s="116">
        <f>+[2]Compromissos_Q15_16_17_18!G29</f>
        <v>0.29370027120608277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f>+[2]Compromissos_Q15_16_17_18!B30</f>
        <v>21409461.449999999</v>
      </c>
      <c r="E7" s="165">
        <f>+[2]Compromissos_Q15_16_17_18!C30</f>
        <v>20713857.840000004</v>
      </c>
      <c r="F7" s="165">
        <f>+[2]Compromissos_Q15_16_17_18!D30</f>
        <v>41462.240000000005</v>
      </c>
      <c r="G7" s="95">
        <f>+[2]Compromissos_Q15_16_17_18!E30</f>
        <v>15.747736786823868</v>
      </c>
      <c r="H7" s="95">
        <f>+[2]Compromissos_Q15_16_17_18!F30</f>
        <v>27.670558557221824</v>
      </c>
      <c r="I7" s="121">
        <f>+[2]Compromissos_Q15_16_17_18!G30</f>
        <v>75.648500757939885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f>+[2]Compromissos_Q15_16_17_18!B31</f>
        <v>116963478.03000005</v>
      </c>
      <c r="E8" s="165">
        <f>+[2]Compromissos_Q15_16_17_18!C31</f>
        <v>116841619.36000004</v>
      </c>
      <c r="F8" s="165">
        <f>+[2]Compromissos_Q15_16_17_18!D31</f>
        <v>46658844.910000041</v>
      </c>
      <c r="G8" s="95">
        <f>+[2]Compromissos_Q15_16_17_18!E31</f>
        <v>0.1545708077145449</v>
      </c>
      <c r="H8" s="95">
        <f>+[2]Compromissos_Q15_16_17_18!F31</f>
        <v>0.16064794786872927</v>
      </c>
      <c r="I8" s="121">
        <f>+[2]Compromissos_Q15_16_17_18!G31</f>
        <v>0.3048831673367649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f>+[2]Compromissos_Q15_16_17_18!B32</f>
        <v>24370815.800000001</v>
      </c>
      <c r="E9" s="165">
        <f>+[2]Compromissos_Q15_16_17_18!C32</f>
        <v>19091541.029999997</v>
      </c>
      <c r="F9" s="165">
        <f>+[2]Compromissos_Q15_16_17_18!D32</f>
        <v>1479833.45</v>
      </c>
      <c r="G9" s="95">
        <f>+[2]Compromissos_Q15_16_17_18!E32</f>
        <v>1.3154745118846209</v>
      </c>
      <c r="H9" s="95">
        <f>+[2]Compromissos_Q15_16_17_18!F32</f>
        <v>2.5767997536572635</v>
      </c>
      <c r="I9" s="121">
        <f>+[2]Compromissos_Q15_16_17_18!G32</f>
        <v>3.5970003868127769</v>
      </c>
    </row>
    <row r="10" spans="2:11">
      <c r="B10" s="29"/>
      <c r="C10" s="120" t="str">
        <f>+IF(Índice!$D$2=1,"Transferências correntes","Current transfers")</f>
        <v>Current transfers</v>
      </c>
      <c r="D10" s="165">
        <f>+[2]Compromissos_Q15_16_17_18!B33</f>
        <v>37441498.379999995</v>
      </c>
      <c r="E10" s="165">
        <f>+[2]Compromissos_Q15_16_17_18!C33</f>
        <v>31865654.84</v>
      </c>
      <c r="F10" s="165">
        <f>+[2]Compromissos_Q15_16_17_18!D33</f>
        <v>124985.71</v>
      </c>
      <c r="G10" s="95">
        <f>+[2]Compromissos_Q15_16_17_18!E33</f>
        <v>-0.29609748309878048</v>
      </c>
      <c r="H10" s="95">
        <f>+[2]Compromissos_Q15_16_17_18!F33</f>
        <v>-0.36263151422142781</v>
      </c>
      <c r="I10" s="121">
        <f>+[2]Compromissos_Q15_16_17_18!G33</f>
        <v>-0.90073759052406721</v>
      </c>
    </row>
    <row r="11" spans="2:11">
      <c r="B11" s="29"/>
      <c r="C11" s="120" t="str">
        <f>+IF(Índice!$D$2=1,"Subsídios","Subsidies")</f>
        <v>Subsidies</v>
      </c>
      <c r="D11" s="165">
        <f>+[2]Compromissos_Q15_16_17_18!B34</f>
        <v>61454.2</v>
      </c>
      <c r="E11" s="165">
        <f>+[2]Compromissos_Q15_16_17_18!C34</f>
        <v>61454.2</v>
      </c>
      <c r="F11" s="165">
        <f>+[2]Compromissos_Q15_16_17_18!D34</f>
        <v>0</v>
      </c>
      <c r="G11" s="95">
        <f>+[2]Compromissos_Q15_16_17_18!E34</f>
        <v>-0.96677610915379875</v>
      </c>
      <c r="H11" s="95">
        <f>+[2]Compromissos_Q15_16_17_18!F34</f>
        <v>-0.96677610915379875</v>
      </c>
      <c r="I11" s="121">
        <f>+[2]Compromissos_Q15_16_17_18!G34</f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f>+[2]Compromissos_Q15_16_17_18!B35</f>
        <v>19786.29</v>
      </c>
      <c r="E12" s="165">
        <f>+[2]Compromissos_Q15_16_17_18!C35</f>
        <v>15554.02</v>
      </c>
      <c r="F12" s="165">
        <f>+[2]Compromissos_Q15_16_17_18!D35</f>
        <v>301</v>
      </c>
      <c r="G12" s="95">
        <f>+[2]Compromissos_Q15_16_17_18!E35</f>
        <v>0.52716061579499018</v>
      </c>
      <c r="H12" s="95">
        <f>+[2]Compromissos_Q15_16_17_18!F35</f>
        <v>1.4499458158494942</v>
      </c>
      <c r="I12" s="121">
        <f>+[2]Compromissos_Q15_16_17_18!G35</f>
        <v>0.1576923076923078</v>
      </c>
    </row>
    <row r="13" spans="2:11">
      <c r="B13" s="29"/>
      <c r="C13" s="115" t="str">
        <f>+IF(Índice!$D$2=1,"Despesa de capital","Capital expenditure")</f>
        <v>Capital expenditure</v>
      </c>
      <c r="D13" s="163">
        <f>+[2]Compromissos_Q15_16_17_18!B36</f>
        <v>40316729.840000004</v>
      </c>
      <c r="E13" s="163">
        <f>+[2]Compromissos_Q15_16_17_18!C36</f>
        <v>25223815.330000002</v>
      </c>
      <c r="F13" s="163">
        <f>+[2]Compromissos_Q15_16_17_18!D36</f>
        <v>142129.44</v>
      </c>
      <c r="G13" s="92">
        <f>+[2]Compromissos_Q15_16_17_18!E36</f>
        <v>-0.13554157931008159</v>
      </c>
      <c r="H13" s="92">
        <f>+[2]Compromissos_Q15_16_17_18!F36</f>
        <v>-0.19860892302229716</v>
      </c>
      <c r="I13" s="117">
        <f>+[2]Compromissos_Q15_16_17_18!G36</f>
        <v>-0.5071629311275081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f>+[2]Compromissos_Q15_16_17_18!B37</f>
        <v>22786434.719999999</v>
      </c>
      <c r="E14" s="165">
        <f>+[2]Compromissos_Q15_16_17_18!C37</f>
        <v>13697453.75</v>
      </c>
      <c r="F14" s="165">
        <f>+[2]Compromissos_Q15_16_17_18!D37</f>
        <v>142129.44</v>
      </c>
      <c r="G14" s="95">
        <f>+[2]Compromissos_Q15_16_17_18!E37</f>
        <v>-7.9582020018587829E-2</v>
      </c>
      <c r="H14" s="95">
        <f>+[2]Compromissos_Q15_16_17_18!F37</f>
        <v>-0.13208181941453134</v>
      </c>
      <c r="I14" s="121">
        <f>+[2]Compromissos_Q15_16_17_18!G37</f>
        <v>-0.5071629311275081</v>
      </c>
    </row>
    <row r="15" spans="2:11">
      <c r="B15" s="29"/>
      <c r="C15" s="120" t="str">
        <f>+IF(Índice!$D$2=1,"Transferências capital","Capital transfers")</f>
        <v>Capital transfers</v>
      </c>
      <c r="D15" s="165">
        <f>+[2]Compromissos_Q15_16_17_18!B38</f>
        <v>17530295.120000001</v>
      </c>
      <c r="E15" s="165">
        <f>+[2]Compromissos_Q15_16_17_18!C38</f>
        <v>11526361.580000002</v>
      </c>
      <c r="F15" s="165">
        <f>+[2]Compromissos_Q15_16_17_18!D38</f>
        <v>0</v>
      </c>
      <c r="G15" s="95">
        <f>+[2]Compromissos_Q15_16_17_18!E38</f>
        <v>-0.19885387744130456</v>
      </c>
      <c r="H15" s="95">
        <f>+[2]Compromissos_Q15_16_17_18!F38</f>
        <v>-0.26551285367623234</v>
      </c>
      <c r="I15" s="121">
        <f>+[2]Compromissos_Q15_16_17_18!G38</f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f>+[2]Compromissos_Q15_16_17_18!B39</f>
        <v>0</v>
      </c>
      <c r="E16" s="166">
        <f>+[2]Compromissos_Q15_16_17_18!C39</f>
        <v>0</v>
      </c>
      <c r="F16" s="166">
        <f>+[2]Compromissos_Q15_16_17_18!D39</f>
        <v>0</v>
      </c>
      <c r="G16" s="96">
        <f>+[2]Compromissos_Q15_16_17_18!E39</f>
        <v>0</v>
      </c>
      <c r="H16" s="96">
        <f>+[2]Compromissos_Q15_16_17_18!F39</f>
        <v>0</v>
      </c>
      <c r="I16" s="123">
        <f>+[2]Compromissos_Q15_16_17_18!G39</f>
        <v>0</v>
      </c>
    </row>
    <row r="17" spans="2:9">
      <c r="B17" s="29"/>
      <c r="C17" s="146" t="s">
        <v>7</v>
      </c>
      <c r="D17" s="164">
        <f>+[2]Compromissos_Q15_16_17_18!B40</f>
        <v>240583223.99000004</v>
      </c>
      <c r="E17" s="164">
        <f>+[2]Compromissos_Q15_16_17_18!C40</f>
        <v>213813496.62000006</v>
      </c>
      <c r="F17" s="164">
        <f>+[2]Compromissos_Q15_16_17_18!D40</f>
        <v>48447556.750000045</v>
      </c>
      <c r="G17" s="147">
        <f>+[2]Compromissos_Q15_16_17_18!E40</f>
        <v>0.1200316962115402</v>
      </c>
      <c r="H17" s="147">
        <f>+[2]Compromissos_Q15_16_17_18!F40</f>
        <v>0.12500186410723924</v>
      </c>
      <c r="I17" s="148">
        <f>+[2]Compromissos_Q15_16_17_18!G40</f>
        <v>0.28756215169305444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f>+[2]Compromissos_Q15_16_17_18!B42</f>
        <v>153402044.79000002</v>
      </c>
      <c r="E19" s="164">
        <f>+[2]Compromissos_Q15_16_17_18!C42</f>
        <v>126726831.04000007</v>
      </c>
      <c r="F19" s="164">
        <f>+[2]Compromissos_Q15_16_17_18!D42</f>
        <v>6288014.3100000005</v>
      </c>
      <c r="G19" s="147">
        <f>+[2]Compromissos_Q15_16_17_18!E42</f>
        <v>0.10286543963714445</v>
      </c>
      <c r="H19" s="147">
        <f>+[2]Compromissos_Q15_16_17_18!F42</f>
        <v>0.10811708517018426</v>
      </c>
      <c r="I19" s="148">
        <f>+[2]Compromissos_Q15_16_17_18!G42</f>
        <v>0.48611257195812563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novembro de 2024 (valores acumulados)","Table XIV - Accounts payable of the Regional Gov., november (accumulated)")</f>
        <v>Table XIV - Accounts payable of the Regional Gov., november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40" t="str">
        <f>+IF(Índice!$D$2=1,"Governo Regional","Regional Government")</f>
        <v>Regional Government</v>
      </c>
      <c r="D24" s="337" t="str">
        <f>+IF(Índice!$D$2=1,"novembro 2024","november 2024")</f>
        <v>november 2024</v>
      </c>
      <c r="E24" s="337" t="str">
        <f>+IF(Índice!$D$2="PT","janeiro 2020","January")</f>
        <v>January</v>
      </c>
      <c r="F24" s="337" t="str">
        <f>+IF(Índice!$D$2="PT","janeiro 2020","January")</f>
        <v>January</v>
      </c>
      <c r="G24" s="344" t="str">
        <f>+IF(Índice!$D$2=1,"Variação face ao stock inicial de janeiro","Change from january initial stock")</f>
        <v>Change from january initial stock</v>
      </c>
      <c r="H24" s="345"/>
      <c r="I24" s="345"/>
    </row>
    <row r="25" spans="2:9" ht="22.5" customHeight="1">
      <c r="B25" s="29"/>
      <c r="C25" s="340"/>
      <c r="D25" s="352" t="str">
        <f>+IF(Índice!$D$2=1,"Stock final do período","Accumulated")</f>
        <v>Accumulated</v>
      </c>
      <c r="E25" s="352"/>
      <c r="F25" s="352"/>
      <c r="G25" s="349" t="str">
        <f>+IF(Índice!$D$2=1,"Passivo","Liabilities")</f>
        <v>Liabilities</v>
      </c>
      <c r="H25" s="349" t="str">
        <f>+IF(Índice!$D$2=1,"Contas a pagar","Accounts payable")</f>
        <v>Accounts payable</v>
      </c>
      <c r="I25" s="338" t="str">
        <f>+IF(Índice!$D$2=1,"Pagamentos em atraso","Late payments")</f>
        <v>Late payments</v>
      </c>
    </row>
    <row r="26" spans="2:9" ht="22.5">
      <c r="B26" s="29"/>
      <c r="C26" s="340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50"/>
      <c r="H26" s="350"/>
      <c r="I26" s="339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f>+[2]Compromissos_Q15_16_17_18!B5</f>
        <v>46018577.31000001</v>
      </c>
      <c r="E27" s="162">
        <f>+[2]Compromissos_Q15_16_17_18!C5</f>
        <v>40600848.45000001</v>
      </c>
      <c r="F27" s="162">
        <f>+[2]Compromissos_Q15_16_17_18!D5</f>
        <v>1095283.4000000001</v>
      </c>
      <c r="G27" s="91">
        <f>+[2]Compromissos_Q15_16_17_18!E5</f>
        <v>2.8331836392195586</v>
      </c>
      <c r="H27" s="91">
        <f>+[2]Compromissos_Q15_16_17_18!F5</f>
        <v>3.3802759327800374</v>
      </c>
      <c r="I27" s="116">
        <f>+[2]Compromissos_Q15_16_17_18!G5</f>
        <v>3.8458110284975033E-2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f>+[2]Compromissos_Q15_16_17_18!B6</f>
        <v>27910545.77</v>
      </c>
      <c r="E28" s="163">
        <f>+[2]Compromissos_Q15_16_17_18!C6</f>
        <v>21534766.260000002</v>
      </c>
      <c r="F28" s="163">
        <f>+[2]Compromissos_Q15_16_17_18!D6</f>
        <v>630</v>
      </c>
      <c r="G28" s="92">
        <f>+[2]Compromissos_Q15_16_17_18!E6</f>
        <v>-0.16011367898759443</v>
      </c>
      <c r="H28" s="172">
        <f>+[2]Compromissos_Q15_16_17_18!F6</f>
        <v>-0.19602520507715593</v>
      </c>
      <c r="I28" s="117">
        <f>+[2]Compromissos_Q15_16_17_18!G6</f>
        <v>0</v>
      </c>
    </row>
    <row r="29" spans="2:9" ht="20.100000000000001" customHeight="1">
      <c r="B29" s="29"/>
      <c r="C29" s="146" t="s">
        <v>7</v>
      </c>
      <c r="D29" s="164">
        <f>+[2]Compromissos_Q15_16_17_18!B7</f>
        <v>73929123.080000013</v>
      </c>
      <c r="E29" s="164">
        <f>+[2]Compromissos_Q15_16_17_18!C7</f>
        <v>62135614.710000008</v>
      </c>
      <c r="F29" s="164">
        <f>+[2]Compromissos_Q15_16_17_18!D7</f>
        <v>1095913.4000000001</v>
      </c>
      <c r="G29" s="147">
        <f>+[2]Compromissos_Q15_16_17_18!E7</f>
        <v>0.63427483973596455</v>
      </c>
      <c r="H29" s="147">
        <f>+[2]Compromissos_Q15_16_17_18!F7</f>
        <v>0.72338549993254464</v>
      </c>
      <c r="I29" s="148">
        <f>+[2]Compromissos_Q15_16_17_18!G7</f>
        <v>3.8435152412776619E-2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novembro de 2024 (valores acumulados)","Table XV - Accounts payable of the ASFs, november (accumulated)")</f>
        <v>Table XV - Accounts payable of the ASFs, november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1" t="str">
        <f>+IF(Índice!$D$2=1,"Serviços e Fundos Autónomos","Autonomous Services and Funds")</f>
        <v>Autonomous Services and Funds</v>
      </c>
      <c r="D33" s="337" t="str">
        <f>+IF(Índice!$D$2=1,"novembro 2024","november 2024")</f>
        <v>november 2024</v>
      </c>
      <c r="E33" s="337" t="str">
        <f>+IF(Índice!$D$2="PT","janeiro 2020","January")</f>
        <v>January</v>
      </c>
      <c r="F33" s="337" t="str">
        <f>+IF(Índice!$D$2="PT","janeiro 2020","January")</f>
        <v>January</v>
      </c>
      <c r="G33" s="344" t="str">
        <f>+IF(Índice!$D$2=1,"Variação face ao stock inicial de janeiro","Change from january initial stock")</f>
        <v>Change from january initial stock</v>
      </c>
      <c r="H33" s="345"/>
      <c r="I33" s="345"/>
    </row>
    <row r="34" spans="2:9" ht="12.75" customHeight="1">
      <c r="C34" s="342"/>
      <c r="D34" s="346" t="str">
        <f>+IF(Índice!$D$2=1,"Stock final do período","Accumulated")</f>
        <v>Accumulated</v>
      </c>
      <c r="E34" s="347"/>
      <c r="F34" s="348"/>
      <c r="G34" s="351" t="str">
        <f>+IF(Índice!$D$2=1,"Passivo","Liabilities")</f>
        <v>Liabilities</v>
      </c>
      <c r="H34" s="351" t="str">
        <f>+IF(Índice!$D$2=1,"Contas a pagar","Accounts payable")</f>
        <v>Accounts payable</v>
      </c>
      <c r="I34" s="338" t="str">
        <f>+IF(Índice!$D$2=1,"Pagamentos em atraso","Late payments")</f>
        <v>Late payments</v>
      </c>
    </row>
    <row r="35" spans="2:9" ht="22.5">
      <c r="C35" s="343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50"/>
      <c r="H35" s="350"/>
      <c r="I35" s="339"/>
    </row>
    <row r="36" spans="2:9" ht="20.100000000000001" customHeight="1">
      <c r="C36" s="115" t="str">
        <f>+IF(Índice!$D$2=1,"Despesa corrente","Current expenditure")</f>
        <v>Current expenditure</v>
      </c>
      <c r="D36" s="162">
        <f>+[2]Compromissos_Q15_16_17_18!B13</f>
        <v>64346068.250000037</v>
      </c>
      <c r="E36" s="162">
        <f>+[2]Compromissos_Q15_16_17_18!C13</f>
        <v>62433486.170000039</v>
      </c>
      <c r="F36" s="162">
        <f>+[2]Compromissos_Q15_16_17_18!D13</f>
        <v>5192100.91</v>
      </c>
      <c r="G36" s="91">
        <f>+[2]Compromissos_Q15_16_17_18!E13</f>
        <v>-0.14864844251954923</v>
      </c>
      <c r="H36" s="91">
        <f>+[2]Compromissos_Q15_16_17_18!F13</f>
        <v>-0.14495144795672721</v>
      </c>
      <c r="I36" s="116">
        <f>+[2]Compromissos_Q15_16_17_18!G13</f>
        <v>0.67855204436003569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f>+[2]Compromissos_Q15_16_17_18!B14</f>
        <v>174522.32</v>
      </c>
      <c r="E37" s="163">
        <f>+[2]Compromissos_Q15_16_17_18!C14</f>
        <v>174522.32</v>
      </c>
      <c r="F37" s="163">
        <f>+[2]Compromissos_Q15_16_17_18!D14</f>
        <v>0</v>
      </c>
      <c r="G37" s="92">
        <f>+[2]Compromissos_Q15_16_17_18!E14</f>
        <v>-0.53428755615920531</v>
      </c>
      <c r="H37" s="92">
        <f>+[2]Compromissos_Q15_16_17_18!F14</f>
        <v>-0.53428755615920531</v>
      </c>
      <c r="I37" s="117">
        <f>+[2]Compromissos_Q15_16_17_18!G14</f>
        <v>-1</v>
      </c>
    </row>
    <row r="38" spans="2:9" ht="20.100000000000001" customHeight="1">
      <c r="C38" s="146" t="s">
        <v>7</v>
      </c>
      <c r="D38" s="164">
        <f>+[2]Compromissos_Q15_16_17_18!B15</f>
        <v>64520590.570000038</v>
      </c>
      <c r="E38" s="164">
        <f>+[2]Compromissos_Q15_16_17_18!C15</f>
        <v>62608008.490000039</v>
      </c>
      <c r="F38" s="164">
        <f>+[2]Compromissos_Q15_16_17_18!D15</f>
        <v>5192100.91</v>
      </c>
      <c r="G38" s="147">
        <f>+[2]Compromissos_Q15_16_17_18!E15</f>
        <v>-0.15055106731491463</v>
      </c>
      <c r="H38" s="147">
        <f>+[2]Compromissos_Q15_16_17_18!F15</f>
        <v>-0.14693940872030986</v>
      </c>
      <c r="I38" s="148">
        <f>+[2]Compromissos_Q15_16_17_18!G15</f>
        <v>0.63487884959766183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novembro de 2024 (valores acumulados)","Table XVI - Accounts payable of the RPEs, november (accumulated)")</f>
        <v>Table XVI - Accounts payable of the RPEs, november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1" t="str">
        <f>+IF(Índice!$D$2=1,"Entidades Públicas Reclassseicadas","Reclassseied Public Entities")</f>
        <v>Reclassseied Public Entities</v>
      </c>
      <c r="D42" s="337" t="str">
        <f>+IF(Índice!$D$2=1,"novembro 2024","november 2024")</f>
        <v>november 2024</v>
      </c>
      <c r="E42" s="337" t="str">
        <f>+IF(Índice!$D$2="PT","janeiro 2020","January")</f>
        <v>January</v>
      </c>
      <c r="F42" s="337" t="str">
        <f>+IF(Índice!$D$2="PT","janeiro 2020","January")</f>
        <v>January</v>
      </c>
      <c r="G42" s="344" t="str">
        <f>+IF(Índice!$D$2=1,"Variação face ao stock inicial de janeiro","Change from january initial stock")</f>
        <v>Change from january initial stock</v>
      </c>
      <c r="H42" s="345"/>
      <c r="I42" s="345"/>
    </row>
    <row r="43" spans="2:9" ht="12.75" customHeight="1">
      <c r="C43" s="342"/>
      <c r="D43" s="346" t="str">
        <f>+IF(Índice!$D$2=1,"Stock final do período","Accumulated")</f>
        <v>Accumulated</v>
      </c>
      <c r="E43" s="347"/>
      <c r="F43" s="348"/>
      <c r="G43" s="349" t="str">
        <f>+IF(Índice!$D$2=1,"Passivo","Liabilities")</f>
        <v>Liabilities</v>
      </c>
      <c r="H43" s="349" t="str">
        <f>+IF(Índice!$D$2=1,"Contas a pagar","Accounts payable")</f>
        <v>Accounts payable</v>
      </c>
      <c r="I43" s="338" t="str">
        <f>+IF(Índice!$D$2=1,"Pagamentos em atraso","Late payments")</f>
        <v>Late payments</v>
      </c>
    </row>
    <row r="44" spans="2:9" ht="22.5">
      <c r="C44" s="343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50"/>
      <c r="H44" s="350"/>
      <c r="I44" s="339"/>
    </row>
    <row r="45" spans="2:9" ht="20.100000000000001" customHeight="1">
      <c r="C45" s="115" t="str">
        <f>+IF(Índice!$D$2=1,"Despesa corrente","Current expenditure")</f>
        <v>Current expenditure</v>
      </c>
      <c r="D45" s="162">
        <f>+[2]Compromissos_Q15_16_17_18!B21</f>
        <v>89901848.590000004</v>
      </c>
      <c r="E45" s="162">
        <f>+[2]Compromissos_Q15_16_17_18!C21</f>
        <v>85555346.670000017</v>
      </c>
      <c r="F45" s="162">
        <f>+[2]Compromissos_Q15_16_17_18!D21</f>
        <v>42018043.000000045</v>
      </c>
      <c r="G45" s="91">
        <f>+[2]Compromissos_Q15_16_17_18!E21</f>
        <v>0.11574197197494862</v>
      </c>
      <c r="H45" s="91">
        <f>+[2]Compromissos_Q15_16_17_18!F21</f>
        <v>0.12138146772580916</v>
      </c>
      <c r="I45" s="116">
        <f>+[2]Compromissos_Q15_16_17_18!G21</f>
        <v>0.26594533732745385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f>+[2]Compromissos_Q15_16_17_18!B22</f>
        <v>12231661.75</v>
      </c>
      <c r="E46" s="163">
        <f>+[2]Compromissos_Q15_16_17_18!C22</f>
        <v>3514526.75</v>
      </c>
      <c r="F46" s="163">
        <f>+[2]Compromissos_Q15_16_17_18!D22</f>
        <v>141499.44</v>
      </c>
      <c r="G46" s="92">
        <f>+[2]Compromissos_Q15_16_17_18!E22</f>
        <v>-6.1417370831373441E-2</v>
      </c>
      <c r="H46" s="92">
        <f>+[2]Compromissos_Q15_16_17_18!F22</f>
        <v>-0.18549460526788408</v>
      </c>
      <c r="I46" s="117">
        <f>+[2]Compromissos_Q15_16_17_18!G22</f>
        <v>-0.31019737549293658</v>
      </c>
    </row>
    <row r="47" spans="2:9" ht="20.100000000000001" customHeight="1">
      <c r="C47" s="146" t="s">
        <v>7</v>
      </c>
      <c r="D47" s="164">
        <f>+[2]Compromissos_Q15_16_17_18!B23</f>
        <v>102133510.34</v>
      </c>
      <c r="E47" s="164">
        <f>+[2]Compromissos_Q15_16_17_18!C23</f>
        <v>89069873.420000017</v>
      </c>
      <c r="F47" s="164">
        <f>+[2]Compromissos_Q15_16_17_18!D23</f>
        <v>42159542.440000042</v>
      </c>
      <c r="G47" s="147">
        <f>+[2]Compromissos_Q15_16_17_18!E23</f>
        <v>9.1077914872404797E-2</v>
      </c>
      <c r="H47" s="147">
        <f>+[2]Compromissos_Q15_16_17_18!F23</f>
        <v>0.10495479547773745</v>
      </c>
      <c r="I47" s="148">
        <f>+[2]Compromissos_Q15_16_17_18!G23</f>
        <v>0.26240647817790097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2"/>
  <sheetViews>
    <sheetView showGridLines="0" topLeftCell="A58" zoomScale="85" zoomScaleNormal="85" workbookViewId="0">
      <selection activeCell="C2" sqref="C2:C112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64</v>
      </c>
      <c r="D10" s="170"/>
      <c r="E10" s="169"/>
    </row>
    <row r="11" spans="2:5">
      <c r="B11" s="195"/>
      <c r="C11" s="170" t="s">
        <v>78</v>
      </c>
      <c r="D11" s="170"/>
      <c r="E11" s="169"/>
    </row>
    <row r="12" spans="2:5">
      <c r="B12" s="195"/>
      <c r="C12" s="170" t="s">
        <v>65</v>
      </c>
      <c r="D12" s="170"/>
      <c r="E12" s="169"/>
    </row>
    <row r="13" spans="2:5">
      <c r="B13" s="195"/>
      <c r="C13" s="170" t="s">
        <v>66</v>
      </c>
      <c r="D13" s="170"/>
      <c r="E13" s="169"/>
    </row>
    <row r="14" spans="2:5">
      <c r="B14" s="195"/>
      <c r="C14" s="170" t="s">
        <v>67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54</v>
      </c>
      <c r="D16" s="170"/>
      <c r="E16" s="169"/>
    </row>
    <row r="17" spans="2:5">
      <c r="B17" s="195"/>
      <c r="C17" s="170" t="s">
        <v>68</v>
      </c>
      <c r="D17" s="171"/>
      <c r="E17" s="169"/>
    </row>
    <row r="18" spans="2:5">
      <c r="B18" s="195"/>
      <c r="C18" s="170" t="s">
        <v>86</v>
      </c>
      <c r="D18" s="170"/>
      <c r="E18" s="169"/>
    </row>
    <row r="19" spans="2:5">
      <c r="B19" s="195"/>
      <c r="C19" s="170" t="s">
        <v>83</v>
      </c>
      <c r="D19" s="170"/>
      <c r="E19" s="169"/>
    </row>
    <row r="20" spans="2:5">
      <c r="B20" s="195"/>
      <c r="C20" s="170" t="s">
        <v>20</v>
      </c>
      <c r="D20" s="170"/>
      <c r="E20" s="169"/>
    </row>
    <row r="21" spans="2:5">
      <c r="B21" s="195"/>
      <c r="C21" s="170" t="s">
        <v>87</v>
      </c>
      <c r="D21" s="170"/>
      <c r="E21" s="169"/>
    </row>
    <row r="22" spans="2:5">
      <c r="B22" s="195"/>
      <c r="C22" s="170" t="s">
        <v>55</v>
      </c>
      <c r="D22" s="170"/>
      <c r="E22" s="169"/>
    </row>
    <row r="23" spans="2:5">
      <c r="B23" s="195"/>
      <c r="C23" s="170" t="s">
        <v>69</v>
      </c>
      <c r="D23" s="170"/>
      <c r="E23" s="169"/>
    </row>
    <row r="24" spans="2:5">
      <c r="B24" s="195"/>
      <c r="C24" s="170" t="s">
        <v>70</v>
      </c>
      <c r="D24" s="170"/>
      <c r="E24" s="169"/>
    </row>
    <row r="25" spans="2:5">
      <c r="B25" s="195"/>
      <c r="C25" s="170" t="s">
        <v>88</v>
      </c>
      <c r="D25" s="170"/>
      <c r="E25" s="169"/>
    </row>
    <row r="26" spans="2:5">
      <c r="B26" s="195"/>
      <c r="C26" s="170" t="s">
        <v>71</v>
      </c>
      <c r="D26" s="170"/>
      <c r="E26" s="169"/>
    </row>
    <row r="27" spans="2:5">
      <c r="B27" s="195"/>
      <c r="C27" s="170" t="s">
        <v>72</v>
      </c>
      <c r="D27" s="170"/>
      <c r="E27" s="169"/>
    </row>
    <row r="28" spans="2:5">
      <c r="B28" s="195"/>
      <c r="C28" s="170" t="s">
        <v>56</v>
      </c>
      <c r="D28" s="170"/>
      <c r="E28" s="169"/>
    </row>
    <row r="29" spans="2:5">
      <c r="B29" s="55"/>
      <c r="C29" s="170" t="s">
        <v>84</v>
      </c>
      <c r="D29" s="170"/>
      <c r="E29" s="169"/>
    </row>
    <row r="30" spans="2:5">
      <c r="B30" s="55"/>
      <c r="C30" s="170" t="s">
        <v>57</v>
      </c>
      <c r="D30" s="170"/>
      <c r="E30" s="169"/>
    </row>
    <row r="31" spans="2:5">
      <c r="B31" s="55"/>
      <c r="C31" s="170" t="s">
        <v>73</v>
      </c>
      <c r="D31" s="170"/>
      <c r="E31" s="169"/>
    </row>
    <row r="32" spans="2:5">
      <c r="B32" s="55"/>
      <c r="C32" s="170" t="s">
        <v>74</v>
      </c>
      <c r="D32" s="170"/>
      <c r="E32" s="169"/>
    </row>
    <row r="33" spans="2:5">
      <c r="B33" s="55"/>
      <c r="C33" s="170" t="s">
        <v>58</v>
      </c>
      <c r="D33" s="170"/>
      <c r="E33" s="169"/>
    </row>
    <row r="34" spans="2:5">
      <c r="B34" s="55"/>
      <c r="C34" s="170" t="s">
        <v>75</v>
      </c>
      <c r="D34" s="170"/>
      <c r="E34" s="169"/>
    </row>
    <row r="35" spans="2:5">
      <c r="B35" s="55"/>
      <c r="C35" s="170" t="s">
        <v>59</v>
      </c>
      <c r="D35" s="170"/>
      <c r="E35" s="169"/>
    </row>
    <row r="36" spans="2:5">
      <c r="B36" s="55"/>
      <c r="C36" s="171" t="s">
        <v>23</v>
      </c>
      <c r="D36" s="170"/>
      <c r="E36" s="169"/>
    </row>
    <row r="37" spans="2:5">
      <c r="B37" s="55"/>
      <c r="C37" s="170" t="s">
        <v>60</v>
      </c>
      <c r="D37" s="170"/>
      <c r="E37" s="169"/>
    </row>
    <row r="38" spans="2:5">
      <c r="B38" s="55"/>
      <c r="C38" s="170" t="s">
        <v>61</v>
      </c>
      <c r="D38" s="170"/>
      <c r="E38" s="169"/>
    </row>
    <row r="39" spans="2:5">
      <c r="B39" s="55"/>
      <c r="C39" s="170" t="s">
        <v>50</v>
      </c>
      <c r="D39" s="170"/>
      <c r="E39" s="169"/>
    </row>
    <row r="40" spans="2:5">
      <c r="B40" s="55"/>
      <c r="C40" s="170" t="s">
        <v>24</v>
      </c>
      <c r="D40" s="170"/>
      <c r="E40" s="169"/>
    </row>
    <row r="41" spans="2:5">
      <c r="B41" s="55"/>
      <c r="C41" s="170" t="s">
        <v>62</v>
      </c>
      <c r="D41" s="170"/>
      <c r="E41" s="169"/>
    </row>
    <row r="42" spans="2:5">
      <c r="B42" s="55"/>
      <c r="C42" s="170" t="s">
        <v>25</v>
      </c>
      <c r="D42" s="170"/>
      <c r="E42" s="169"/>
    </row>
    <row r="43" spans="2:5">
      <c r="B43" s="55"/>
      <c r="C43" s="170" t="s">
        <v>26</v>
      </c>
      <c r="D43" s="171"/>
      <c r="E43" s="169"/>
    </row>
    <row r="44" spans="2:5">
      <c r="B44" s="55"/>
      <c r="C44" s="170" t="s">
        <v>51</v>
      </c>
      <c r="D44" s="170"/>
      <c r="E44" s="169"/>
    </row>
    <row r="45" spans="2:5">
      <c r="B45" s="55"/>
      <c r="C45" s="171" t="s">
        <v>27</v>
      </c>
      <c r="D45" s="171"/>
      <c r="E45" s="169"/>
    </row>
    <row r="46" spans="2:5">
      <c r="B46" s="55"/>
      <c r="C46" s="170" t="s">
        <v>93</v>
      </c>
      <c r="D46" s="170"/>
      <c r="E46" s="169"/>
    </row>
    <row r="47" spans="2:5">
      <c r="B47" s="55"/>
      <c r="C47" s="170" t="s">
        <v>85</v>
      </c>
      <c r="D47" s="170"/>
      <c r="E47" s="169"/>
    </row>
    <row r="48" spans="2:5">
      <c r="B48" s="55"/>
      <c r="C48" s="170" t="s">
        <v>28</v>
      </c>
      <c r="D48" s="170"/>
      <c r="E48" s="169"/>
    </row>
    <row r="49" spans="2:5">
      <c r="B49" s="55"/>
      <c r="C49" s="171" t="s">
        <v>90</v>
      </c>
      <c r="D49" s="170"/>
      <c r="E49" s="169"/>
    </row>
    <row r="50" spans="2:5">
      <c r="B50" s="55"/>
      <c r="C50" s="170" t="s">
        <v>29</v>
      </c>
      <c r="D50" s="171"/>
      <c r="E50" s="169"/>
    </row>
    <row r="51" spans="2:5">
      <c r="B51" s="55"/>
      <c r="C51" s="170" t="s">
        <v>76</v>
      </c>
      <c r="D51" s="170"/>
      <c r="E51" s="169"/>
    </row>
    <row r="52" spans="2:5">
      <c r="B52" s="55"/>
      <c r="C52" s="170" t="s">
        <v>30</v>
      </c>
      <c r="D52" s="170"/>
      <c r="E52" s="169"/>
    </row>
    <row r="53" spans="2:5">
      <c r="B53" s="55"/>
      <c r="C53" s="170" t="s">
        <v>31</v>
      </c>
      <c r="D53" s="170"/>
      <c r="E53" s="169"/>
    </row>
    <row r="54" spans="2:5">
      <c r="B54" s="55"/>
      <c r="C54" s="170" t="s">
        <v>22</v>
      </c>
      <c r="D54" s="171"/>
      <c r="E54" s="169"/>
    </row>
    <row r="55" spans="2:5">
      <c r="B55" s="55"/>
      <c r="C55" s="170" t="s">
        <v>89</v>
      </c>
    </row>
    <row r="56" spans="2:5">
      <c r="B56" s="55"/>
      <c r="C56" s="171" t="s">
        <v>91</v>
      </c>
    </row>
    <row r="57" spans="2:5">
      <c r="B57" s="55"/>
      <c r="C57" s="170" t="s">
        <v>94</v>
      </c>
    </row>
    <row r="58" spans="2:5">
      <c r="B58" s="55"/>
      <c r="C58" s="170" t="s">
        <v>95</v>
      </c>
    </row>
    <row r="59" spans="2:5">
      <c r="B59" s="55"/>
      <c r="C59" s="170" t="s">
        <v>53</v>
      </c>
    </row>
    <row r="60" spans="2:5">
      <c r="B60" s="55"/>
      <c r="C60" s="170" t="s">
        <v>52</v>
      </c>
    </row>
    <row r="61" spans="2:5">
      <c r="B61" s="55"/>
      <c r="C61" s="171" t="s">
        <v>33</v>
      </c>
    </row>
    <row r="62" spans="2:5">
      <c r="B62" s="55"/>
      <c r="C62" s="170" t="s">
        <v>77</v>
      </c>
    </row>
    <row r="63" spans="2:5">
      <c r="B63" s="55"/>
      <c r="C63" s="170" t="s">
        <v>34</v>
      </c>
    </row>
    <row r="64" spans="2:5">
      <c r="B64" s="55"/>
      <c r="C64" s="170" t="s">
        <v>35</v>
      </c>
    </row>
    <row r="65" spans="2:3">
      <c r="B65" s="55"/>
      <c r="C65" s="170" t="s">
        <v>36</v>
      </c>
    </row>
    <row r="66" spans="2:3">
      <c r="B66" s="55"/>
      <c r="C66" s="171" t="s">
        <v>92</v>
      </c>
    </row>
    <row r="67" spans="2:3">
      <c r="B67" s="55"/>
      <c r="C67" s="170" t="s">
        <v>79</v>
      </c>
    </row>
    <row r="68" spans="2:3">
      <c r="B68" s="55"/>
      <c r="C68" s="170" t="s">
        <v>32</v>
      </c>
    </row>
    <row r="69" spans="2:3">
      <c r="B69" s="55"/>
      <c r="C69" s="290" t="s">
        <v>21</v>
      </c>
    </row>
    <row r="70" spans="2:3" hidden="1">
      <c r="B70" s="55"/>
      <c r="C70" s="170"/>
    </row>
    <row r="71" spans="2:3" hidden="1">
      <c r="B71" s="55"/>
      <c r="C71" s="171"/>
    </row>
    <row r="72" spans="2:3" hidden="1">
      <c r="B72" s="55"/>
      <c r="C72" s="170"/>
    </row>
    <row r="73" spans="2:3" hidden="1">
      <c r="B73" s="55"/>
      <c r="C73" s="170"/>
    </row>
    <row r="74" spans="2:3" ht="13.5" hidden="1" customHeight="1">
      <c r="B74" s="55"/>
      <c r="C74" s="170"/>
    </row>
    <row r="75" spans="2:3" ht="13.5" hidden="1" customHeight="1">
      <c r="B75" s="55"/>
      <c r="C75" s="170"/>
    </row>
    <row r="76" spans="2:3" ht="13.5" hidden="1" customHeight="1">
      <c r="B76" s="55"/>
      <c r="C76" s="170"/>
    </row>
    <row r="77" spans="2:3" ht="13.5" hidden="1" customHeight="1">
      <c r="B77" s="55"/>
    </row>
    <row r="78" spans="2:3" ht="13.5" hidden="1" customHeight="1">
      <c r="B78" s="55"/>
      <c r="C78" s="170"/>
    </row>
    <row r="79" spans="2:3" hidden="1">
      <c r="B79" s="55"/>
      <c r="C79" s="170"/>
    </row>
    <row r="80" spans="2:3" hidden="1">
      <c r="B80" s="55"/>
      <c r="C80" s="322"/>
    </row>
    <row r="81" spans="2:3" hidden="1">
      <c r="B81" s="55"/>
      <c r="C81" s="322"/>
    </row>
    <row r="82" spans="2:3" hidden="1">
      <c r="B82" s="55"/>
      <c r="C82" s="322"/>
    </row>
    <row r="83" spans="2:3">
      <c r="B83" s="55"/>
      <c r="C83" s="275"/>
    </row>
    <row r="84" spans="2:3" ht="30.75" customHeight="1">
      <c r="B84" s="16"/>
      <c r="C84" s="321" t="s">
        <v>11</v>
      </c>
    </row>
    <row r="85" spans="2:3">
      <c r="B85" s="55"/>
      <c r="C85" s="289" t="s">
        <v>13</v>
      </c>
    </row>
    <row r="86" spans="2:3">
      <c r="B86" s="55"/>
      <c r="C86" s="170" t="s">
        <v>13</v>
      </c>
    </row>
    <row r="87" spans="2:3">
      <c r="B87" s="55"/>
      <c r="C87" s="171" t="s">
        <v>17</v>
      </c>
    </row>
    <row r="88" spans="2:3">
      <c r="B88" s="55"/>
      <c r="C88" s="170" t="s">
        <v>37</v>
      </c>
    </row>
    <row r="89" spans="2:3">
      <c r="B89" s="55"/>
      <c r="C89" s="170" t="s">
        <v>38</v>
      </c>
    </row>
    <row r="90" spans="2:3">
      <c r="B90" s="55"/>
      <c r="C90" s="170" t="s">
        <v>82</v>
      </c>
    </row>
    <row r="91" spans="2:3">
      <c r="B91" s="55"/>
      <c r="C91" s="171" t="s">
        <v>23</v>
      </c>
    </row>
    <row r="92" spans="2:3">
      <c r="B92" s="55"/>
      <c r="C92" s="170" t="s">
        <v>39</v>
      </c>
    </row>
    <row r="93" spans="2:3">
      <c r="B93" s="55"/>
      <c r="C93" s="170" t="s">
        <v>41</v>
      </c>
    </row>
    <row r="94" spans="2:3">
      <c r="B94" s="55"/>
      <c r="C94" s="170" t="s">
        <v>42</v>
      </c>
    </row>
    <row r="95" spans="2:3">
      <c r="B95" s="55"/>
      <c r="C95" s="170" t="s">
        <v>63</v>
      </c>
    </row>
    <row r="96" spans="2:3">
      <c r="B96" s="55"/>
      <c r="C96" s="171" t="s">
        <v>27</v>
      </c>
    </row>
    <row r="97" spans="2:3">
      <c r="B97" s="55"/>
      <c r="C97" s="170" t="s">
        <v>43</v>
      </c>
    </row>
    <row r="98" spans="2:3">
      <c r="B98" s="55"/>
      <c r="C98" s="171" t="s">
        <v>91</v>
      </c>
    </row>
    <row r="99" spans="2:3">
      <c r="B99" s="55"/>
      <c r="C99" s="170" t="s">
        <v>80</v>
      </c>
    </row>
    <row r="100" spans="2:3">
      <c r="B100" s="55"/>
      <c r="C100" s="171" t="s">
        <v>91</v>
      </c>
    </row>
    <row r="101" spans="2:3">
      <c r="B101" s="55"/>
      <c r="C101" s="170" t="s">
        <v>96</v>
      </c>
    </row>
    <row r="102" spans="2:3">
      <c r="B102" s="55"/>
      <c r="C102" s="170" t="s">
        <v>81</v>
      </c>
    </row>
    <row r="103" spans="2:3">
      <c r="B103" s="55"/>
      <c r="C103" s="171" t="s">
        <v>33</v>
      </c>
    </row>
    <row r="104" spans="2:3">
      <c r="B104" s="55"/>
      <c r="C104" s="170" t="s">
        <v>40</v>
      </c>
    </row>
    <row r="105" spans="2:3">
      <c r="B105" s="55"/>
      <c r="C105" s="170" t="s">
        <v>45</v>
      </c>
    </row>
    <row r="106" spans="2:3">
      <c r="B106" s="55"/>
      <c r="C106" s="170" t="s">
        <v>46</v>
      </c>
    </row>
    <row r="107" spans="2:3">
      <c r="B107" s="55"/>
      <c r="C107" s="170" t="s">
        <v>47</v>
      </c>
    </row>
    <row r="108" spans="2:3">
      <c r="B108" s="55"/>
      <c r="C108" s="170" t="s">
        <v>48</v>
      </c>
    </row>
    <row r="109" spans="2:3">
      <c r="B109" s="55"/>
      <c r="C109" s="170" t="s">
        <v>49</v>
      </c>
    </row>
    <row r="110" spans="2:3">
      <c r="B110" s="55"/>
      <c r="C110" s="171" t="s">
        <v>92</v>
      </c>
    </row>
    <row r="111" spans="2:3">
      <c r="B111" s="55"/>
      <c r="C111" s="170" t="s">
        <v>44</v>
      </c>
    </row>
    <row r="112" spans="2:3">
      <c r="B112" s="55"/>
      <c r="C112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topLeftCell="A5" zoomScale="130" zoomScaleNormal="130" workbookViewId="0">
      <selection activeCell="E6" sqref="E6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(january-november)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(january-november)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(november)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(january-november)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(january-november)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(january-november)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(january-november)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(january-november)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(january-november)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(january-november)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(january-november)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(november)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Table XIII- Accounts payable of the Regional Administration, november (accumulated)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Table XIV - Accounts payable of the Regional Gov., november (accumulated)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Table XV - Accounts payable of the ASFs, november (accumulated)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Table XVI - Accounts payable of the RPEs, november (accumulated)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'!C84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3"/>
      <c r="B22" s="323"/>
      <c r="C22" s="323"/>
      <c r="D22" s="323"/>
    </row>
  </sheetData>
  <mergeCells count="1">
    <mergeCell ref="A22:D22"/>
  </mergeCells>
  <dataValidations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E52" sqref="E52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(janeiro-novembro)","TABLE I - Consolidated budget execution (january-november)")</f>
        <v>TABLE I - Consolidated budget execution (january-november)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2024","Consolidated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f>+[2]Consolidado_Q1!M67</f>
        <v>1401117.1141300001</v>
      </c>
      <c r="E5" s="57">
        <f>+[2]Consolidado_Q1!N67</f>
        <v>529200.37196000002</v>
      </c>
      <c r="F5" s="57">
        <f>+[2]Consolidado_Q1!O67</f>
        <v>379280.65918999992</v>
      </c>
      <c r="G5" s="57">
        <f>+[2]Consolidado_Q1!P67</f>
        <v>1504222.5989799998</v>
      </c>
      <c r="H5" s="57">
        <f>+[2]Consolidado_Q1!R67</f>
        <v>11.001763947920495</v>
      </c>
    </row>
    <row r="6" spans="1:10" ht="11.25" customHeight="1">
      <c r="C6" s="68" t="str">
        <f>+IF(Índice!$D$2=1,"Impostos diretos","Direct taxes")</f>
        <v>Direct taxes</v>
      </c>
      <c r="D6" s="56">
        <f>+[2]Consolidado_Q1!M68</f>
        <v>426326.21333</v>
      </c>
      <c r="E6" s="56">
        <f>+[2]Consolidado_Q1!N68</f>
        <v>0</v>
      </c>
      <c r="F6" s="56">
        <f>+[2]Consolidado_Q1!O68</f>
        <v>0</v>
      </c>
      <c r="G6" s="56">
        <f>+[2]Consolidado_Q1!P68</f>
        <v>426326.21333</v>
      </c>
      <c r="H6" s="56">
        <f>+[2]Consolidado_Q1!R68</f>
        <v>13.327855799651367</v>
      </c>
    </row>
    <row r="7" spans="1:10">
      <c r="C7" s="68" t="str">
        <f>+IF(Índice!$D$2=1,"Impostos indiretos","Indirect taxes")</f>
        <v>Indirect taxes</v>
      </c>
      <c r="D7" s="56">
        <f>+[2]Consolidado_Q1!M69</f>
        <v>712859.03272000013</v>
      </c>
      <c r="E7" s="56">
        <f>+[2]Consolidado_Q1!N69</f>
        <v>0</v>
      </c>
      <c r="F7" s="56">
        <f>+[2]Consolidado_Q1!O69</f>
        <v>0</v>
      </c>
      <c r="G7" s="56">
        <f>+[2]Consolidado_Q1!P69</f>
        <v>712859.03272000013</v>
      </c>
      <c r="H7" s="56">
        <f>+[2]Consolidado_Q1!R69</f>
        <v>10.932456919385803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f>+[2]Consolidado_Q1!M70</f>
        <v>0</v>
      </c>
      <c r="E8" s="56">
        <f>+[2]Consolidado_Q1!N70</f>
        <v>0</v>
      </c>
      <c r="F8" s="56">
        <f>+[2]Consolidado_Q1!O70</f>
        <v>0</v>
      </c>
      <c r="G8" s="56">
        <f>+[2]Consolidado_Q1!P70</f>
        <v>0</v>
      </c>
      <c r="H8" s="56">
        <f>+[2]Consolidado_Q1!R70</f>
        <v>0</v>
      </c>
    </row>
    <row r="9" spans="1:10">
      <c r="C9" s="68" t="str">
        <f>+IF(Índice!$D$2=1,"Outras receitas correntes","Other current revenues")</f>
        <v>Other current revenues</v>
      </c>
      <c r="D9" s="56">
        <f>+[2]Consolidado_Q1!M71</f>
        <v>261931.86807999999</v>
      </c>
      <c r="E9" s="56">
        <f>+[2]Consolidado_Q1!N71</f>
        <v>529200.37196000002</v>
      </c>
      <c r="F9" s="56">
        <f>+[2]Consolidado_Q1!O71</f>
        <v>379280.65918999992</v>
      </c>
      <c r="G9" s="56">
        <f>+[2]Consolidado_Q1!P71</f>
        <v>356962.2081899998</v>
      </c>
      <c r="H9" s="56">
        <f>+[2]Consolidado_Q1!R71</f>
        <v>9.9964008220710063</v>
      </c>
    </row>
    <row r="10" spans="1:10">
      <c r="C10" s="69" t="str">
        <f>+IF(Índice!$D$2=1,"Transferências correntes","Current transfers")</f>
        <v>Current transfers</v>
      </c>
      <c r="D10" s="56">
        <f>+[2]Consolidado_Q1!M72</f>
        <v>215662.24631000002</v>
      </c>
      <c r="E10" s="56">
        <f>+[2]Consolidado_Q1!N72</f>
        <v>518944.12167000002</v>
      </c>
      <c r="F10" s="56">
        <f>+[2]Consolidado_Q1!O72</f>
        <v>337388.85441999993</v>
      </c>
      <c r="G10" s="56">
        <f>+[2]Consolidado_Q1!P72</f>
        <v>258548.85432000004</v>
      </c>
      <c r="H10" s="56">
        <f>+[2]Consolidado_Q1!R72</f>
        <v>9.1012588112056925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f>+[2]Consolidado_Q1!M73</f>
        <v>210631.321</v>
      </c>
      <c r="E11" s="56">
        <f>+[2]Consolidado_Q1!N73</f>
        <v>1513.9232999999999</v>
      </c>
      <c r="F11" s="56">
        <f>+[2]Consolidado_Q1!O73</f>
        <v>10.290649999999999</v>
      </c>
      <c r="G11" s="56">
        <f>+[2]Consolidado_Q1!P73</f>
        <v>212155.53495</v>
      </c>
      <c r="H11" s="56">
        <f>+[2]Consolidado_Q1!R73</f>
        <v>7.9066847429690723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f>+[2]Consolidado_Q1!M74</f>
        <v>0</v>
      </c>
      <c r="E12" s="56">
        <f>+[2]Consolidado_Q1!N74</f>
        <v>479931.29892000003</v>
      </c>
      <c r="F12" s="56">
        <f>+[2]Consolidado_Q1!O74</f>
        <v>333515.06916000001</v>
      </c>
      <c r="G12" s="56">
        <f>+[2]Consolidado_Q1!P74</f>
        <v>0</v>
      </c>
      <c r="H12" s="56">
        <f>+[2]Consolidado_Q1!R74</f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f>+[2]Consolidado_Q1!M75</f>
        <v>0</v>
      </c>
      <c r="E13" s="56">
        <f>+[2]Consolidado_Q1!N75</f>
        <v>0</v>
      </c>
      <c r="F13" s="56">
        <f>+[2]Consolidado_Q1!O75</f>
        <v>0</v>
      </c>
      <c r="G13" s="56">
        <f>+[2]Consolidado_Q1!P75</f>
        <v>8075.1447399999797</v>
      </c>
      <c r="H13" s="56">
        <f>+[2]Consolidado_Q1!R75</f>
        <v>0</v>
      </c>
    </row>
    <row r="14" spans="1:10">
      <c r="C14" s="57" t="str">
        <f>+IF(Índice!$D$2=1,"Receita de capital","Capital revenue")</f>
        <v>Capital revenue</v>
      </c>
      <c r="D14" s="57">
        <f>+[2]Consolidado_Q1!M76</f>
        <v>143678.50318</v>
      </c>
      <c r="E14" s="57">
        <f>+[2]Consolidado_Q1!N76</f>
        <v>7261.2279800000015</v>
      </c>
      <c r="F14" s="57">
        <f>+[2]Consolidado_Q1!O76</f>
        <v>62211.808590000001</v>
      </c>
      <c r="G14" s="57">
        <f>+[2]Consolidado_Q1!P76</f>
        <v>193789.78231000001</v>
      </c>
      <c r="H14" s="57">
        <f>+[2]Consolidado_Q1!R76</f>
        <v>88.629668429722358</v>
      </c>
    </row>
    <row r="15" spans="1:10">
      <c r="C15" s="68" t="str">
        <f>+IF(Índice!$D$2=1,"Venda de bens de investimento","Sale of investment goods")</f>
        <v>Sale of investment goods</v>
      </c>
      <c r="D15" s="56">
        <f>+[2]Consolidado_Q1!M77</f>
        <v>1561.5444399999997</v>
      </c>
      <c r="E15" s="56">
        <f>+[2]Consolidado_Q1!N77</f>
        <v>0</v>
      </c>
      <c r="F15" s="56">
        <f>+[2]Consolidado_Q1!O77</f>
        <v>881.47902999999997</v>
      </c>
      <c r="G15" s="56">
        <f>+[2]Consolidado_Q1!P77</f>
        <v>2443.0234699999996</v>
      </c>
      <c r="H15" s="56">
        <f>+[2]Consolidado_Q1!R77</f>
        <v>-70.062329679820735</v>
      </c>
    </row>
    <row r="16" spans="1:10" ht="11.25" customHeight="1">
      <c r="C16" s="68" t="str">
        <f>+IF(Índice!$D$2=1,"Transferências capital","Capital transfers")</f>
        <v>Capital transfers</v>
      </c>
      <c r="D16" s="56">
        <f>+[2]Consolidado_Q1!M78</f>
        <v>135231.11194</v>
      </c>
      <c r="E16" s="56">
        <f>+[2]Consolidado_Q1!N78</f>
        <v>7217.1768100000018</v>
      </c>
      <c r="F16" s="56">
        <f>+[2]Consolidado_Q1!O78</f>
        <v>60587.598060000004</v>
      </c>
      <c r="G16" s="56">
        <f>+[2]Consolidado_Q1!P78</f>
        <v>183674.12937000001</v>
      </c>
      <c r="H16" s="56">
        <f>+[2]Consolidado_Q1!R78</f>
        <v>102.88862069838478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f>+[2]Consolidado_Q1!M79</f>
        <v>122139.15517</v>
      </c>
      <c r="E17" s="56">
        <f>+[2]Consolidado_Q1!N79</f>
        <v>41.051360000000003</v>
      </c>
      <c r="F17" s="56">
        <f>+[2]Consolidado_Q1!O79</f>
        <v>0</v>
      </c>
      <c r="G17" s="56">
        <f>+[2]Consolidado_Q1!P79</f>
        <v>122180.20653</v>
      </c>
      <c r="H17" s="56">
        <f>+[2]Consolidado_Q1!R79</f>
        <v>130.55911070857192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f>+[2]Consolidado_Q1!M80</f>
        <v>0</v>
      </c>
      <c r="E18" s="56">
        <f>+[2]Consolidado_Q1!N80</f>
        <v>2309.5038999999992</v>
      </c>
      <c r="F18" s="56">
        <f>+[2]Consolidado_Q1!O80</f>
        <v>17052.253539999998</v>
      </c>
      <c r="G18" s="56">
        <f>+[2]Consolidado_Q1!P80</f>
        <v>0</v>
      </c>
      <c r="H18" s="56">
        <f>+[2]Consolidado_Q1!R80</f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f>+[2]Consolidado_Q1!M81</f>
        <v>0</v>
      </c>
      <c r="E19" s="56">
        <f>+[2]Consolidado_Q1!N81</f>
        <v>0</v>
      </c>
      <c r="F19" s="56">
        <f>+[2]Consolidado_Q1!O81</f>
        <v>0</v>
      </c>
      <c r="G19" s="56">
        <f>+[2]Consolidado_Q1!P81</f>
        <v>0</v>
      </c>
      <c r="H19" s="56">
        <f>+[2]Consolidado_Q1!R81</f>
        <v>0</v>
      </c>
    </row>
    <row r="20" spans="3:8">
      <c r="C20" s="57" t="str">
        <f>+IF(Índice!$D$2=1,"Receita efetiva","Effective revenue")</f>
        <v>Effective revenue</v>
      </c>
      <c r="D20" s="57">
        <f>+[2]Consolidado_Q1!M82</f>
        <v>1544795.6173100004</v>
      </c>
      <c r="E20" s="57">
        <f>+[2]Consolidado_Q1!N82</f>
        <v>536461.59993999999</v>
      </c>
      <c r="F20" s="57">
        <f>+[2]Consolidado_Q1!O82</f>
        <v>441492.46777999995</v>
      </c>
      <c r="G20" s="57">
        <f>+[2]Consolidado_Q1!P82</f>
        <v>1698012.3812899997</v>
      </c>
      <c r="H20" s="57">
        <f>+[2]Consolidado_Q1!R82</f>
        <v>16.47217643225083</v>
      </c>
    </row>
    <row r="21" spans="3:8" ht="20.25" customHeight="1">
      <c r="C21" s="220" t="str">
        <f>+IF(Índice!$D$2=1,"Despesa corrente","Current expenditure")</f>
        <v>Current expenditure</v>
      </c>
      <c r="D21" s="220">
        <f>+[2]Consolidado_Q1!M83</f>
        <v>1295693.2647100003</v>
      </c>
      <c r="E21" s="220">
        <f>+[2]Consolidado_Q1!N83</f>
        <v>510417.79899999971</v>
      </c>
      <c r="F21" s="220">
        <f>+[2]Consolidado_Q1!O83</f>
        <v>372588.15349000017</v>
      </c>
      <c r="G21" s="220">
        <f>+[2]Consolidado_Q1!P83</f>
        <v>1373327.9938600003</v>
      </c>
      <c r="H21" s="220">
        <f>+[2]Consolidado_Q1!R83</f>
        <v>9.3785667032525222</v>
      </c>
    </row>
    <row r="22" spans="3:8" ht="10.5" customHeight="1">
      <c r="C22" s="68" t="str">
        <f>+IF(Índice!$D$2=1,"Consumo público","Public consumption")</f>
        <v>Public consumption</v>
      </c>
      <c r="D22" s="56">
        <f>+[2]Consolidado_Q1!M84</f>
        <v>591833.24907999986</v>
      </c>
      <c r="E22" s="56">
        <f>+[2]Consolidado_Q1!N84</f>
        <v>146071.48642999999</v>
      </c>
      <c r="F22" s="56">
        <f>+[2]Consolidado_Q1!O84</f>
        <v>358976.34212000016</v>
      </c>
      <c r="G22" s="56">
        <f>+[2]Consolidado_Q1!P84</f>
        <v>1096881.0776300002</v>
      </c>
      <c r="H22" s="56">
        <f>+[2]Consolidado_Q1!R84</f>
        <v>8.7333349408975192</v>
      </c>
    </row>
    <row r="23" spans="3:8">
      <c r="C23" s="69" t="str">
        <f>+IF(Índice!$D$2=1,"Despesas com o pessoal","Compensation of employees")</f>
        <v>Compensation of employees</v>
      </c>
      <c r="D23" s="56">
        <f>+[2]Consolidado_Q1!M85</f>
        <v>433817.66858999996</v>
      </c>
      <c r="E23" s="56">
        <f>+[2]Consolidado_Q1!N85</f>
        <v>53851.478440000035</v>
      </c>
      <c r="F23" s="56">
        <f>+[2]Consolidado_Q1!O85</f>
        <v>241027.01085000005</v>
      </c>
      <c r="G23" s="56">
        <f>+[2]Consolidado_Q1!P85</f>
        <v>728696.15788000007</v>
      </c>
      <c r="H23" s="56">
        <f>+[2]Consolidado_Q1!R85</f>
        <v>5.4312286960829903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f>+[2]Consolidado_Q1!M86</f>
        <v>158015.58048999991</v>
      </c>
      <c r="E24" s="56">
        <f>+[2]Consolidado_Q1!N86</f>
        <v>92220.007989999955</v>
      </c>
      <c r="F24" s="56">
        <f>+[2]Consolidado_Q1!O86</f>
        <v>117949.33127000011</v>
      </c>
      <c r="G24" s="56">
        <f>+[2]Consolidado_Q1!P86</f>
        <v>368184.91975</v>
      </c>
      <c r="H24" s="56">
        <f>+[2]Consolidado_Q1!R86</f>
        <v>15.918822093878248</v>
      </c>
    </row>
    <row r="25" spans="3:8">
      <c r="C25" s="68" t="str">
        <f>+IF(Índice!$D$2=1,"Subsídios","Subsidies")</f>
        <v>Subsidies</v>
      </c>
      <c r="D25" s="56">
        <f>+[2]Consolidado_Q1!M87</f>
        <v>28402.098770000001</v>
      </c>
      <c r="E25" s="56">
        <f>+[2]Consolidado_Q1!N87</f>
        <v>5713.1233999999995</v>
      </c>
      <c r="F25" s="56">
        <f>+[2]Consolidado_Q1!O87</f>
        <v>0</v>
      </c>
      <c r="G25" s="56">
        <f>+[2]Consolidado_Q1!P87</f>
        <v>34110.899210000003</v>
      </c>
      <c r="H25" s="56">
        <f>+[2]Consolidado_Q1!R87</f>
        <v>39.101549016035932</v>
      </c>
    </row>
    <row r="26" spans="3:8">
      <c r="C26" s="68" t="str">
        <f>+IF(Índice!$D$2=1,"Juros e outros encargos","Interests and other charges")</f>
        <v>Interests and other charges</v>
      </c>
      <c r="D26" s="56">
        <f>+[2]Consolidado_Q1!M88</f>
        <v>118160.18909000001</v>
      </c>
      <c r="E26" s="56">
        <f>+[2]Consolidado_Q1!N88</f>
        <v>21.346550000000001</v>
      </c>
      <c r="F26" s="56">
        <f>+[2]Consolidado_Q1!O88</f>
        <v>1510.9843000000001</v>
      </c>
      <c r="G26" s="56">
        <f>+[2]Consolidado_Q1!P88</f>
        <v>119692.51994000001</v>
      </c>
      <c r="H26" s="56">
        <f>+[2]Consolidado_Q1!R88</f>
        <v>12.064697805520176</v>
      </c>
    </row>
    <row r="27" spans="3:8">
      <c r="C27" s="68" t="str">
        <f>+IF(Índice!$D$2=1,"Transferências correntes","Current transfers")</f>
        <v>Current transfers</v>
      </c>
      <c r="D27" s="56">
        <f>+[2]Consolidado_Q1!M89</f>
        <v>557297.72777000035</v>
      </c>
      <c r="E27" s="56">
        <f>+[2]Consolidado_Q1!N89</f>
        <v>358611.84261999972</v>
      </c>
      <c r="F27" s="56">
        <f>+[2]Consolidado_Q1!O89</f>
        <v>12100.827069999996</v>
      </c>
      <c r="G27" s="56">
        <f>+[2]Consolidado_Q1!P89</f>
        <v>122643.49708000012</v>
      </c>
      <c r="H27" s="56">
        <f>+[2]Consolidado_Q1!R89</f>
        <v>6.2184750569840519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f>+[2]Consolidado_Q1!M90</f>
        <v>117.78400000000001</v>
      </c>
      <c r="E28" s="56">
        <f>+[2]Consolidado_Q1!N90</f>
        <v>2331.5140200000001</v>
      </c>
      <c r="F28" s="56">
        <f>+[2]Consolidado_Q1!O90</f>
        <v>0</v>
      </c>
      <c r="G28" s="56">
        <f>+[2]Consolidado_Q1!P90</f>
        <v>2449.2980200000002</v>
      </c>
      <c r="H28" s="56">
        <f>+[2]Consolidado_Q1!R90</f>
        <v>4.6012193053649231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f>+[2]Consolidado_Q1!M91</f>
        <v>483255.59164000012</v>
      </c>
      <c r="E29" s="56">
        <f>+[2]Consolidado_Q1!N91</f>
        <v>322111.30873999995</v>
      </c>
      <c r="F29" s="56">
        <f>+[2]Consolidado_Q1!O91</f>
        <v>0</v>
      </c>
      <c r="G29" s="56">
        <f>+[2]Consolidado_Q1!P91</f>
        <v>0</v>
      </c>
      <c r="H29" s="56">
        <f>+[2]Consolidado_Q1!R91</f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f>+[2]Consolidado_Q1!M92</f>
        <v>0</v>
      </c>
      <c r="E30" s="56">
        <f>+[2]Consolidado_Q1!N92</f>
        <v>0</v>
      </c>
      <c r="F30" s="56">
        <f>+[2]Consolidado_Q1!O92</f>
        <v>0</v>
      </c>
      <c r="G30" s="56">
        <f>+[2]Consolidado_Q1!P92</f>
        <v>0</v>
      </c>
      <c r="H30" s="56">
        <f>+[2]Consolidado_Q1!R92</f>
        <v>0</v>
      </c>
    </row>
    <row r="31" spans="3:8">
      <c r="C31" s="57" t="str">
        <f>+IF(Índice!$D$2=1,"Despesa de capital","Capital expenditure")</f>
        <v>Capital expenditure</v>
      </c>
      <c r="D31" s="57">
        <f>+[2]Consolidado_Q1!M93</f>
        <v>132340.94716000001</v>
      </c>
      <c r="E31" s="57">
        <f>+[2]Consolidado_Q1!N93</f>
        <v>4258.9982300000001</v>
      </c>
      <c r="F31" s="57">
        <f>+[2]Consolidado_Q1!O93</f>
        <v>61932.388779999994</v>
      </c>
      <c r="G31" s="57">
        <f>+[2]Consolidado_Q1!P93</f>
        <v>179170.57672999997</v>
      </c>
      <c r="H31" s="57">
        <f>+[2]Consolidado_Q1!R93</f>
        <v>14.309509478114336</v>
      </c>
    </row>
    <row r="32" spans="3:8">
      <c r="C32" s="68" t="str">
        <f>+IF(Índice!$D$2=1,"Investimento","Investment")</f>
        <v>Investment</v>
      </c>
      <c r="D32" s="56">
        <f>+[2]Consolidado_Q1!M94</f>
        <v>92478.822480000017</v>
      </c>
      <c r="E32" s="56">
        <f>+[2]Consolidado_Q1!N94</f>
        <v>1710.4326000000003</v>
      </c>
      <c r="F32" s="56">
        <f>+[2]Consolidado_Q1!O94</f>
        <v>58872.823489999995</v>
      </c>
      <c r="G32" s="56">
        <f>+[2]Consolidado_Q1!P94</f>
        <v>153062.07857000001</v>
      </c>
      <c r="H32" s="56">
        <f>+[2]Consolidado_Q1!R94</f>
        <v>23.213392692091261</v>
      </c>
    </row>
    <row r="33" spans="3:8">
      <c r="C33" s="68" t="str">
        <f>+IF(Índice!$D$2=1,"Transferências capital","Capital transfers")</f>
        <v>Capital transfers</v>
      </c>
      <c r="D33" s="56">
        <f>+[2]Consolidado_Q1!M95</f>
        <v>39862.124679999994</v>
      </c>
      <c r="E33" s="56">
        <f>+[2]Consolidado_Q1!N95</f>
        <v>2548.5656299999996</v>
      </c>
      <c r="F33" s="56">
        <f>+[2]Consolidado_Q1!O95</f>
        <v>3059.56529</v>
      </c>
      <c r="G33" s="56">
        <f>+[2]Consolidado_Q1!P95</f>
        <v>24424.798819999985</v>
      </c>
      <c r="H33" s="56">
        <f>+[2]Consolidado_Q1!R95</f>
        <v>-24.865656272115512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f>+[2]Consolidado_Q1!M96</f>
        <v>11392.085159999999</v>
      </c>
      <c r="E34" s="56">
        <f>+[2]Consolidado_Q1!N96</f>
        <v>0.83492000000000011</v>
      </c>
      <c r="F34" s="56">
        <f>+[2]Consolidado_Q1!O96</f>
        <v>0</v>
      </c>
      <c r="G34" s="56">
        <f>+[2]Consolidado_Q1!P96</f>
        <v>11392.920079999998</v>
      </c>
      <c r="H34" s="56">
        <f>+[2]Consolidado_Q1!R96</f>
        <v>70.325307952574462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f>+[2]Consolidado_Q1!M97</f>
        <v>18290.456780000004</v>
      </c>
      <c r="E35" s="56">
        <f>+[2]Consolidado_Q1!N97</f>
        <v>0</v>
      </c>
      <c r="F35" s="56">
        <f>+[2]Consolidado_Q1!O97</f>
        <v>2755</v>
      </c>
      <c r="G35" s="56">
        <f>+[2]Consolidado_Q1!P97</f>
        <v>0</v>
      </c>
      <c r="H35" s="56">
        <f>+[2]Consolidado_Q1!R97</f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f>+[2]Consolidado_Q1!M98</f>
        <v>0</v>
      </c>
      <c r="E36" s="56">
        <f>+[2]Consolidado_Q1!N98</f>
        <v>0</v>
      </c>
      <c r="F36" s="56">
        <f>+[2]Consolidado_Q1!O98</f>
        <v>0</v>
      </c>
      <c r="G36" s="56">
        <f>+[2]Consolidado_Q1!P98</f>
        <v>0</v>
      </c>
      <c r="H36" s="56">
        <f>+[2]Consolidado_Q1!R98</f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f>+[2]Consolidado_Q1!M100</f>
        <v>1428034.2118700002</v>
      </c>
      <c r="E38" s="86">
        <f>+[2]Consolidado_Q1!N100</f>
        <v>514676.79722999968</v>
      </c>
      <c r="F38" s="86">
        <f>+[2]Consolidado_Q1!O100</f>
        <v>434520.54227000015</v>
      </c>
      <c r="G38" s="86">
        <f>+[2]Consolidado_Q1!P100</f>
        <v>1552498.5705900001</v>
      </c>
      <c r="H38" s="86">
        <f>+[2]Consolidado_Q1!R100</f>
        <v>9.9258129226442939</v>
      </c>
    </row>
    <row r="39" spans="3:8" ht="17.25" customHeight="1">
      <c r="C39" s="138" t="str">
        <f>+IF(Índice!$D$2=1,"Saldo global","Overall balance")</f>
        <v>Overall balance</v>
      </c>
      <c r="D39" s="139">
        <f>+[2]Consolidado_Q1!M101</f>
        <v>116761.40544000012</v>
      </c>
      <c r="E39" s="139">
        <f>+[2]Consolidado_Q1!N101</f>
        <v>21784.802710000309</v>
      </c>
      <c r="F39" s="139">
        <f>+[2]Consolidado_Q1!O101</f>
        <v>6971.9255099997972</v>
      </c>
      <c r="G39" s="139">
        <f>+[2]Consolidado_Q1!P101</f>
        <v>145513.81069999957</v>
      </c>
      <c r="H39" s="139">
        <f>+[2]Consolidado_Q1!R101</f>
        <v>219.42657883341985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f>+[2]Consolidado_Q1!M103</f>
        <v>105423.84941999987</v>
      </c>
      <c r="E41" s="19">
        <f>+[2]Consolidado_Q1!N103</f>
        <v>18782.572960000311</v>
      </c>
      <c r="F41" s="19">
        <f>+[2]Consolidado_Q1!O103</f>
        <v>6692.5056999997469</v>
      </c>
      <c r="G41" s="19">
        <f>+[2]Consolidado_Q1!P103</f>
        <v>130894.6051199995</v>
      </c>
      <c r="H41" s="19">
        <f>+[2]Consolidado_Q1!R103</f>
        <v>31.472112386962326</v>
      </c>
    </row>
    <row r="42" spans="3:8">
      <c r="C42" s="68" t="str">
        <f>+IF(Índice!$D$2=1,"Despesa corrente primária","Primary current expenditure")</f>
        <v>Primary current expenditure</v>
      </c>
      <c r="D42" s="19">
        <f>+[2]Consolidado_Q1!M104</f>
        <v>1177533.0756200003</v>
      </c>
      <c r="E42" s="19">
        <f>+[2]Consolidado_Q1!N104</f>
        <v>510396.45244999969</v>
      </c>
      <c r="F42" s="19">
        <f>+[2]Consolidado_Q1!O104</f>
        <v>371077.16919000016</v>
      </c>
      <c r="G42" s="19">
        <f>+[2]Consolidado_Q1!P104</f>
        <v>1253635.4739200003</v>
      </c>
      <c r="H42" s="19">
        <f>+[2]Consolidado_Q1!R104</f>
        <v>9.1288235492000815</v>
      </c>
    </row>
    <row r="43" spans="3:8">
      <c r="C43" s="68" t="str">
        <f>+IF(Índice!$D$2=1,"Saldo corrente primário","Primary current balance")</f>
        <v>Primary current balance</v>
      </c>
      <c r="D43" s="19">
        <f>+[2]Consolidado_Q1!M105</f>
        <v>223584.03850999987</v>
      </c>
      <c r="E43" s="19">
        <f>+[2]Consolidado_Q1!N105</f>
        <v>18803.919510000327</v>
      </c>
      <c r="F43" s="19">
        <f>+[2]Consolidado_Q1!O105</f>
        <v>8203.4899999997579</v>
      </c>
      <c r="G43" s="19">
        <f>+[2]Consolidado_Q1!P105</f>
        <v>250587.12505999953</v>
      </c>
      <c r="H43" s="19">
        <f>+[2]Consolidado_Q1!R105</f>
        <v>21.4276925247066</v>
      </c>
    </row>
    <row r="44" spans="3:8">
      <c r="C44" s="68" t="str">
        <f>+IF(Índice!$D$2=1,"Saldo de capital","Capital balance")</f>
        <v>Capital balance</v>
      </c>
      <c r="D44" s="19">
        <f>+[2]Consolidado_Q1!M106</f>
        <v>11337.556019999989</v>
      </c>
      <c r="E44" s="19">
        <f>+[2]Consolidado_Q1!N106</f>
        <v>3002.2297500000013</v>
      </c>
      <c r="F44" s="19">
        <f>+[2]Consolidado_Q1!O106</f>
        <v>279.41981000000669</v>
      </c>
      <c r="G44" s="19">
        <f>+[2]Consolidado_Q1!P106</f>
        <v>14619.205580000038</v>
      </c>
      <c r="H44" s="19">
        <f>+[2]Consolidado_Q1!R106</f>
        <v>127.0695748230286</v>
      </c>
    </row>
    <row r="45" spans="3:8">
      <c r="C45" s="68" t="str">
        <f t="array" ref="C45">+IF(Índice!$D$2=1,"Despesa primária","Primary expenditure")</f>
        <v>Primary expenditure</v>
      </c>
      <c r="D45" s="19">
        <f>+[2]Consolidado_Q1!M107</f>
        <v>1309874.0227800002</v>
      </c>
      <c r="E45" s="19">
        <f>+[2]Consolidado_Q1!N107</f>
        <v>514655.45067999966</v>
      </c>
      <c r="F45" s="19">
        <f>+[2]Consolidado_Q1!O107</f>
        <v>433009.55797000014</v>
      </c>
      <c r="G45" s="19">
        <f>+[2]Consolidado_Q1!P107</f>
        <v>1432806.0506500001</v>
      </c>
      <c r="H45" s="19">
        <f>+[2]Consolidado_Q1!R107</f>
        <v>9.7508258414445095</v>
      </c>
    </row>
    <row r="46" spans="3:8">
      <c r="C46" s="221" t="str">
        <f>+IF(Índice!$D$2=1,"Saldo primário","Primary balance")</f>
        <v>Primary balance</v>
      </c>
      <c r="D46" s="132">
        <f>+[2]Consolidado_Q1!M108</f>
        <v>234921.59453000012</v>
      </c>
      <c r="E46" s="132">
        <f>+[2]Consolidado_Q1!N108</f>
        <v>21806.149260000326</v>
      </c>
      <c r="F46" s="132">
        <f>+[2]Consolidado_Q1!O108</f>
        <v>8482.9098099998082</v>
      </c>
      <c r="G46" s="132">
        <f>+[2]Consolidado_Q1!P108</f>
        <v>265206.33063999959</v>
      </c>
      <c r="H46" s="132">
        <f>+[2]Consolidado_Q1!R108</f>
        <v>74.064079606633925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4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4"/>
      <c r="E48" s="324"/>
      <c r="F48" s="324"/>
      <c r="G48" s="324"/>
    </row>
    <row r="49" spans="3:7" ht="9" customHeight="1">
      <c r="C49" s="324"/>
      <c r="D49" s="324"/>
      <c r="E49" s="324"/>
      <c r="F49" s="324"/>
      <c r="G49" s="324"/>
    </row>
    <row r="50" spans="3:7" ht="9" customHeight="1">
      <c r="C50" s="324"/>
      <c r="D50" s="324"/>
      <c r="E50" s="324"/>
      <c r="F50" s="324"/>
      <c r="G50" s="324"/>
    </row>
    <row r="51" spans="3:7" ht="9" customHeight="1">
      <c r="C51" s="324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4"/>
      <c r="E51" s="324"/>
      <c r="F51" s="324"/>
      <c r="G51" s="324"/>
    </row>
    <row r="52" spans="3:7" ht="9" customHeight="1">
      <c r="C52" s="324"/>
      <c r="D52" s="324"/>
      <c r="E52" s="324"/>
      <c r="F52" s="324"/>
      <c r="G52" s="324"/>
    </row>
    <row r="53" spans="3:7" ht="9" customHeight="1">
      <c r="C53" s="324"/>
      <c r="D53" s="324"/>
      <c r="E53" s="324"/>
      <c r="F53" s="324"/>
      <c r="G53" s="324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E52" sqref="E5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(janeiro-novembro)","TABLE II - Regional Gov. budget execution (january-november)")</f>
        <v>TABLE II - Regional Gov. budget execution (january-november)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f>+[2]Global_Est_Q2_3!D8</f>
        <v>1254279.5096600002</v>
      </c>
      <c r="E5" s="225">
        <f>+[2]Global_Est_Q2_3!E8</f>
        <v>1401117.1141300001</v>
      </c>
      <c r="F5" s="225">
        <f>+[2]Global_Est_Q2_3!F8</f>
        <v>11.706928426966279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f>+[2]Global_Est_Q2_3!D9</f>
        <v>1018794.7382000001</v>
      </c>
      <c r="E6" s="231">
        <f>+[2]Global_Est_Q2_3!E9</f>
        <v>1139185.2460500002</v>
      </c>
      <c r="F6" s="231">
        <f>+[2]Global_Est_Q2_3!F9</f>
        <v>11.816954224037834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f>+[2]Global_Est_Q2_3!D10</f>
        <v>376188.36985999998</v>
      </c>
      <c r="E7" s="231">
        <f>+[2]Global_Est_Q2_3!E10</f>
        <v>426326.21333</v>
      </c>
      <c r="F7" s="231">
        <f>+[2]Global_Est_Q2_3!F10</f>
        <v>13.327855799651388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f>+[2]Global_Est_Q2_3!D11</f>
        <v>642606.36834000016</v>
      </c>
      <c r="E8" s="231">
        <f>+[2]Global_Est_Q2_3!E11</f>
        <v>712859.03272000013</v>
      </c>
      <c r="F8" s="231">
        <f>+[2]Global_Est_Q2_3!F11</f>
        <v>10.93245691938578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f>+[2]Global_Est_Q2_3!D12</f>
        <v>235484.77146000002</v>
      </c>
      <c r="E9" s="231">
        <f>+[2]Global_Est_Q2_3!E12</f>
        <v>261931.86807999999</v>
      </c>
      <c r="F9" s="231">
        <f>+[2]Global_Est_Q2_3!F12</f>
        <v>11.230915891515437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f>+[2]Global_Est_Q2_3!D13</f>
        <v>75776.029670000018</v>
      </c>
      <c r="E10" s="232">
        <f>+[2]Global_Est_Q2_3!E13</f>
        <v>143678.50318</v>
      </c>
      <c r="F10" s="232">
        <f>+[2]Global_Est_Q2_3!F13</f>
        <v>89.609436923141942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f>+[2]Global_Est_Q2_3!D15</f>
        <v>1330055.5393300003</v>
      </c>
      <c r="E12" s="232">
        <f>+[2]Global_Est_Q2_3!E15</f>
        <v>1544795.6173100001</v>
      </c>
      <c r="F12" s="232">
        <f>+[2]Global_Est_Q2_3!F15</f>
        <v>16.145196319258414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f>+[2]Global_Est_Q2_3!D17</f>
        <v>1164296.2886000003</v>
      </c>
      <c r="E14" s="232">
        <f>+[2]Global_Est_Q2_3!E17</f>
        <v>1295693.2647100003</v>
      </c>
      <c r="F14" s="232">
        <f>+[2]Global_Est_Q2_3!F17</f>
        <v>11.28552735214825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f>+[2]Global_Est_Q2_3!D18</f>
        <v>407387.95296000008</v>
      </c>
      <c r="E15" s="231">
        <f>+[2]Global_Est_Q2_3!E18</f>
        <v>433817.66859000031</v>
      </c>
      <c r="F15" s="231">
        <f>+[2]Global_Est_Q2_3!F18</f>
        <v>6.4876036313708196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f>+[2]Global_Est_Q2_3!D19</f>
        <v>151997.98733000027</v>
      </c>
      <c r="E16" s="231">
        <f>+[2]Global_Est_Q2_3!E19</f>
        <v>157108.30921999991</v>
      </c>
      <c r="F16" s="231">
        <f>+[2]Global_Est_Q2_3!F19</f>
        <v>3.3620983933851045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f>+[2]Global_Est_Q2_3!D20</f>
        <v>100503.12182000003</v>
      </c>
      <c r="E17" s="231">
        <f>+[2]Global_Est_Q2_3!E20</f>
        <v>118160.18909000001</v>
      </c>
      <c r="F17" s="231">
        <f>+[2]Global_Est_Q2_3!F20</f>
        <v>17.568675430424531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f>+[2]Global_Est_Q2_3!D21</f>
        <v>484100.17851999984</v>
      </c>
      <c r="E18" s="231">
        <f>+[2]Global_Est_Q2_3!E21</f>
        <v>557297.72777000011</v>
      </c>
      <c r="F18" s="231">
        <f>+[2]Global_Est_Q2_3!F21</f>
        <v>15.120330976489459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f>+[2]Global_Est_Q2_3!D22</f>
        <v>410663.08611999988</v>
      </c>
      <c r="E19" s="231">
        <f>+[2]Global_Est_Q2_3!E22</f>
        <v>483373.3756400001</v>
      </c>
      <c r="F19" s="231">
        <f>+[2]Global_Est_Q2_3!F22</f>
        <v>17.705582015412389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f>+[2]Global_Est_Q2_3!D23</f>
        <v>73437.092399999965</v>
      </c>
      <c r="E20" s="231">
        <f>+[2]Global_Est_Q2_3!E23</f>
        <v>73924.35212999997</v>
      </c>
      <c r="F20" s="231">
        <f>+[2]Global_Est_Q2_3!F23</f>
        <v>0.66350629372140535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f>+[2]Global_Est_Q2_3!D24</f>
        <v>19473.053340000002</v>
      </c>
      <c r="E21" s="231">
        <f>+[2]Global_Est_Q2_3!E24</f>
        <v>28402.098770000001</v>
      </c>
      <c r="F21" s="231">
        <f>+[2]Global_Est_Q2_3!F24</f>
        <v>45.853340378104249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f>+[2]Global_Est_Q2_3!D25</f>
        <v>833.99463000000026</v>
      </c>
      <c r="E22" s="231">
        <f>+[2]Global_Est_Q2_3!E25</f>
        <v>907.2712700000003</v>
      </c>
      <c r="F22" s="231">
        <f>+[2]Global_Est_Q2_3!F25</f>
        <v>8.7862244388791755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f>+[2]Global_Est_Q2_3!D26</f>
        <v>128465.86049999997</v>
      </c>
      <c r="E23" s="232">
        <f>+[2]Global_Est_Q2_3!E26</f>
        <v>132340.94716000001</v>
      </c>
      <c r="F23" s="232">
        <f>+[2]Global_Est_Q2_3!F26</f>
        <v>3.0164330390330063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f>+[2]Global_Est_Q2_3!D27</f>
        <v>87509.88787999998</v>
      </c>
      <c r="E24" s="231">
        <f>+[2]Global_Est_Q2_3!E27</f>
        <v>92478.822480000017</v>
      </c>
      <c r="F24" s="231">
        <f>+[2]Global_Est_Q2_3!F27</f>
        <v>5.6781407454364441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f>+[2]Global_Est_Q2_3!D28</f>
        <v>40955.972619999986</v>
      </c>
      <c r="E25" s="231">
        <f>+[2]Global_Est_Q2_3!E28</f>
        <v>39862.124680000001</v>
      </c>
      <c r="F25" s="231">
        <f>+[2]Global_Est_Q2_3!F28</f>
        <v>-2.6707898018904053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f>+[2]Global_Est_Q2_3!D29</f>
        <v>34920.101249999985</v>
      </c>
      <c r="E26" s="231">
        <f>+[2]Global_Est_Q2_3!E29</f>
        <v>29682.541940000003</v>
      </c>
      <c r="F26" s="231">
        <f>+[2]Global_Est_Q2_3!F29</f>
        <v>-14.998694512662636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f>+[2]Global_Est_Q2_3!D30</f>
        <v>6035.8713699999998</v>
      </c>
      <c r="E27" s="231">
        <f>+[2]Global_Est_Q2_3!E30</f>
        <v>10179.58274</v>
      </c>
      <c r="F27" s="231">
        <f>+[2]Global_Est_Q2_3!F30</f>
        <v>68.651419422147171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f>+[2]Global_Est_Q2_3!D33</f>
        <v>1292762.1491000003</v>
      </c>
      <c r="E29" s="235">
        <f>+[2]Global_Est_Q2_3!E33</f>
        <v>1428034.2118700002</v>
      </c>
      <c r="F29" s="235">
        <f>+[2]Global_Est_Q2_3!F33</f>
        <v>10.46380131597866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f>+[2]Global_Est_Q2_3!D35</f>
        <v>37293.390229999946</v>
      </c>
      <c r="E31" s="139">
        <f>+[2]Global_Est_Q2_3!E35</f>
        <v>116761.40543999986</v>
      </c>
      <c r="F31" s="139">
        <f>+[2]Global_Est_Q2_3!F35</f>
        <v>213.08873963964103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f>+[2]Global_Est_Q2_3!D37</f>
        <v>89983.221059999894</v>
      </c>
      <c r="E33" s="19">
        <f>+[2]Global_Est_Q2_3!E37</f>
        <v>105423.84941999987</v>
      </c>
      <c r="F33" s="19">
        <f>+[2]Global_Est_Q2_3!F37</f>
        <v>17.159452815880339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f>+[2]Global_Est_Q2_3!D38</f>
        <v>-52689.830829999948</v>
      </c>
      <c r="E34" s="19">
        <f>+[2]Global_Est_Q2_3!E38</f>
        <v>11337.556019999989</v>
      </c>
      <c r="F34" s="19">
        <f>+[2]Global_Est_Q2_3!F38</f>
        <v>121.51754112967228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f>+[2]Global_Est_Q2_3!D39</f>
        <v>137796.51204999996</v>
      </c>
      <c r="E35" s="19">
        <f>+[2]Global_Est_Q2_3!E39</f>
        <v>234921.59452999989</v>
      </c>
      <c r="F35" s="19">
        <f>+[2]Global_Est_Q2_3!F39</f>
        <v>70.484427388668408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f>+[2]Global_Est_Q2_3!D40</f>
        <v>24512.518009999996</v>
      </c>
      <c r="E36" s="106">
        <f>+[2]Global_Est_Q2_3!E40</f>
        <v>14258.04883</v>
      </c>
      <c r="F36" s="106">
        <f>+[2]Global_Est_Q2_3!F40</f>
        <v>-41.833601818534675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5"/>
      <c r="D38" s="325"/>
      <c r="E38" s="325"/>
      <c r="F38" s="325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topLeftCell="A12" zoomScale="130" zoomScaleNormal="130" workbookViewId="0">
      <selection activeCell="E52" sqref="E52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(novembro)","TABLE III - Regional Gov. budget execution (november)")</f>
        <v>TABLE III - Regional Gov. budget execution (november)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f>+[2]Global_Est_Q2_3!D54</f>
        <v>2023</v>
      </c>
      <c r="E3" s="293">
        <f>+[2]Global_Est_Q2_3!E54</f>
        <v>2024</v>
      </c>
      <c r="F3" s="293" t="str">
        <f>+[2]Global_Est_Q2_3!F54</f>
        <v>VH (%)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f>+[2]Global_Est_Q2_3!D56</f>
        <v>96920.94215000009</v>
      </c>
      <c r="E5" s="225">
        <f>+[2]Global_Est_Q2_3!E56</f>
        <v>107425.92098000027</v>
      </c>
      <c r="F5" s="225">
        <f>+[2]Global_Est_Q2_3!F56</f>
        <v>10.838708948724518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f>+[2]Global_Est_Q2_3!D57</f>
        <v>87094.128250000067</v>
      </c>
      <c r="E6" s="231">
        <f>+[2]Global_Est_Q2_3!E57</f>
        <v>94505.06516000026</v>
      </c>
      <c r="F6" s="231">
        <f>+[2]Global_Est_Q2_3!F57</f>
        <v>8.5091119905665877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f>+[2]Global_Est_Q2_3!D58</f>
        <v>25827.43451000005</v>
      </c>
      <c r="E7" s="231">
        <f>+[2]Global_Est_Q2_3!E58</f>
        <v>24682.636949999989</v>
      </c>
      <c r="F7" s="231">
        <f>+[2]Global_Est_Q2_3!F58</f>
        <v>-4.4324865466479402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f>+[2]Global_Est_Q2_3!D59</f>
        <v>61266.69374000001</v>
      </c>
      <c r="E8" s="231">
        <f>+[2]Global_Est_Q2_3!E59</f>
        <v>69822.428210000275</v>
      </c>
      <c r="F8" s="231">
        <f>+[2]Global_Est_Q2_3!F59</f>
        <v>13.964739971620777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f>+[2]Global_Est_Q2_3!D60</f>
        <v>9826.813900000021</v>
      </c>
      <c r="E9" s="231">
        <f>+[2]Global_Est_Q2_3!E60</f>
        <v>12920.855820000012</v>
      </c>
      <c r="F9" s="231">
        <f>+[2]Global_Est_Q2_3!F60</f>
        <v>31.485707895617978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f>+[2]Global_Est_Q2_3!D61</f>
        <v>914.81437000001074</v>
      </c>
      <c r="E10" s="232">
        <f>+[2]Global_Est_Q2_3!E61</f>
        <v>16673.724740000016</v>
      </c>
      <c r="F10" s="232">
        <f>+[2]Global_Est_Q2_3!F61</f>
        <v>1722.6347646900017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f>+[2]Global_Est_Q2_3!D63</f>
        <v>97835.756520000097</v>
      </c>
      <c r="E12" s="232">
        <f>+[2]Global_Est_Q2_3!E63</f>
        <v>124099.64572000029</v>
      </c>
      <c r="F12" s="232">
        <f>+[2]Global_Est_Q2_3!F63</f>
        <v>26.844877715675651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f>+[2]Global_Est_Q2_3!D65</f>
        <v>133626.08527000019</v>
      </c>
      <c r="E14" s="232">
        <f>+[2]Global_Est_Q2_3!E65</f>
        <v>187897.87553000063</v>
      </c>
      <c r="F14" s="232">
        <f>+[2]Global_Est_Q2_3!F65</f>
        <v>40.614667525686144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f>+[2]Global_Est_Q2_3!D66</f>
        <v>56445.899699999987</v>
      </c>
      <c r="E15" s="231">
        <f>+[2]Global_Est_Q2_3!E66</f>
        <v>58331.666890000823</v>
      </c>
      <c r="F15" s="231">
        <f>+[2]Global_Est_Q2_3!F66</f>
        <v>3.3408399901912356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f>+[2]Global_Est_Q2_3!D67</f>
        <v>12456.29878000003</v>
      </c>
      <c r="E16" s="231">
        <f>+[2]Global_Est_Q2_3!E67</f>
        <v>15434.443829999804</v>
      </c>
      <c r="F16" s="231">
        <f>+[2]Global_Est_Q2_3!F67</f>
        <v>23.908747715505307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f>+[2]Global_Est_Q2_3!D68</f>
        <v>14011.38721999997</v>
      </c>
      <c r="E17" s="231">
        <f>+[2]Global_Est_Q2_3!E68</f>
        <v>24322.523270000027</v>
      </c>
      <c r="F17" s="231">
        <f>+[2]Global_Est_Q2_3!F68</f>
        <v>73.591114770433691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f>+[2]Global_Est_Q2_3!D69</f>
        <v>49562.0472300002</v>
      </c>
      <c r="E18" s="231">
        <f>+[2]Global_Est_Q2_3!E69</f>
        <v>85655.313139999984</v>
      </c>
      <c r="F18" s="231">
        <f>+[2]Global_Est_Q2_3!F69</f>
        <v>72.824404816256887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f>+[2]Global_Est_Q2_3!D70</f>
        <v>1099.9539000000022</v>
      </c>
      <c r="E19" s="231">
        <f>+[2]Global_Est_Q2_3!E70</f>
        <v>4077.2053800000026</v>
      </c>
      <c r="F19" s="231">
        <f>+[2]Global_Est_Q2_3!F70</f>
        <v>270.67056901202807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f>+[2]Global_Est_Q2_3!D71</f>
        <v>50.498440000000059</v>
      </c>
      <c r="E20" s="231">
        <f>+[2]Global_Est_Q2_3!E71</f>
        <v>76.723019999999792</v>
      </c>
      <c r="F20" s="231">
        <f>+[2]Global_Est_Q2_3!F71</f>
        <v>51.931465605669615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f>+[2]Global_Est_Q2_3!D72</f>
        <v>17840.977329999998</v>
      </c>
      <c r="E21" s="232">
        <f>+[2]Global_Est_Q2_3!E72</f>
        <v>17598.831349999975</v>
      </c>
      <c r="F21" s="232">
        <f>+[2]Global_Est_Q2_3!F72</f>
        <v>-1.3572461615813491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f>+[2]Global_Est_Q2_3!D73</f>
        <v>14584.716129999995</v>
      </c>
      <c r="E22" s="231">
        <f>+[2]Global_Est_Q2_3!E73</f>
        <v>8309.734439999982</v>
      </c>
      <c r="F22" s="231">
        <f>+[2]Global_Est_Q2_3!F73</f>
        <v>-43.024366289123073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f>+[2]Global_Est_Q2_3!D74</f>
        <v>3256.2612000000031</v>
      </c>
      <c r="E23" s="231">
        <f>+[2]Global_Est_Q2_3!E74</f>
        <v>9289.0969099999929</v>
      </c>
      <c r="F23" s="231">
        <f>+[2]Global_Est_Q2_3!F74</f>
        <v>185.26878955533371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f>+[2]Global_Est_Q2_3!D79</f>
        <v>151467.06260000018</v>
      </c>
      <c r="E25" s="300">
        <f>+[2]Global_Est_Q2_3!E79</f>
        <v>205496.70688000059</v>
      </c>
      <c r="F25" s="300">
        <f>+[2]Global_Est_Q2_3!F79</f>
        <v>35.670886694808289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f>+[2]Global_Est_Q2_3!D81</f>
        <v>-53631.306080000082</v>
      </c>
      <c r="E27" s="287">
        <f>+[2]Global_Est_Q2_3!E81</f>
        <v>-81397.061160000303</v>
      </c>
      <c r="F27" s="287">
        <f>+[2]Global_Est_Q2_3!F81</f>
        <v>-51.771543729669659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f>+[2]Global_Est_Q2_3!D83</f>
        <v>-36705.143120000095</v>
      </c>
      <c r="E29" s="19">
        <f>+[2]Global_Est_Q2_3!E83</f>
        <v>-80471.954550000359</v>
      </c>
      <c r="F29" s="19">
        <f>+[2]Global_Est_Q2_3!F83</f>
        <v>-119.23890689354751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f>+[2]Global_Est_Q2_3!D84</f>
        <v>-16926.162959999987</v>
      </c>
      <c r="E30" s="19">
        <f>+[2]Global_Est_Q2_3!E84</f>
        <v>-925.10660999995889</v>
      </c>
      <c r="F30" s="19">
        <f>+[2]Global_Est_Q2_3!F84</f>
        <v>94.534457619330638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f>+[2]Global_Est_Q2_3!D85</f>
        <v>-39619.918860000114</v>
      </c>
      <c r="E31" s="19">
        <f>+[2]Global_Est_Q2_3!E85</f>
        <v>-57074.537890000276</v>
      </c>
      <c r="F31" s="19">
        <f>+[2]Global_Est_Q2_3!F85</f>
        <v>-44.05516097011035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5"/>
      <c r="E33" s="325"/>
      <c r="F33" s="325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topLeftCell="A8" zoomScale="120" zoomScaleNormal="120" zoomScaleSheetLayoutView="100" zoomScalePageLayoutView="150" workbookViewId="0">
      <selection activeCell="E52" sqref="E52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(janeiro-novembro)","TABLE IV - Regional Gov. tax revenue budget execution (january-november)")</f>
        <v>TABLE IV - Regional Gov. tax revenue budget execution (january-november)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+IF(Índice!$D$2=1,"Grau de Execução (%)","Execution level (%)")</f>
        <v>Execution level (%)</v>
      </c>
      <c r="G3" s="240" t="str">
        <f>+IF(Índice!$D$2=1,"VH (%)","yoy change (%)")</f>
        <v>yoy change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f>+[2]R_Est_Q4_5!E167</f>
        <v>1018794.7382000001</v>
      </c>
      <c r="E5" s="33">
        <f>+[2]R_Est_Q4_5!F167</f>
        <v>1139185.2460500002</v>
      </c>
      <c r="F5" s="270">
        <f>+[2]R_Est_Q4_5!G167</f>
        <v>0.91613629965853494</v>
      </c>
      <c r="G5" s="270">
        <f>+[2]R_Est_Q4_5!H167</f>
        <v>0.11816954224037834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f>+[2]R_Est_Q4_5!E169</f>
        <v>376188.36985999998</v>
      </c>
      <c r="E7" s="70">
        <f>+[2]R_Est_Q4_5!F169</f>
        <v>426326.21333</v>
      </c>
      <c r="F7" s="271">
        <f>+[2]R_Est_Q4_5!G169</f>
        <v>0.92833247186778467</v>
      </c>
      <c r="G7" s="271">
        <f>+[2]R_Est_Q4_5!H169</f>
        <v>0.13327855799651389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f>+[2]R_Est_Q4_5!E170</f>
        <v>209523.47100999998</v>
      </c>
      <c r="E8" s="70">
        <f>+[2]R_Est_Q4_5!F170</f>
        <v>219834.00641</v>
      </c>
      <c r="F8" s="271">
        <f>+[2]R_Est_Q4_5!G170</f>
        <v>0.92343266894271481</v>
      </c>
      <c r="G8" s="271">
        <f>+[2]R_Est_Q4_5!H170</f>
        <v>4.9209453004469994E-2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f>+[2]R_Est_Q4_5!E171</f>
        <v>166664.89885</v>
      </c>
      <c r="E9" s="70">
        <f>+[2]R_Est_Q4_5!F171</f>
        <v>206492.20692000003</v>
      </c>
      <c r="F9" s="271">
        <f>+[2]R_Est_Q4_5!G171</f>
        <v>0.93360632916203845</v>
      </c>
      <c r="G9" s="271">
        <f>+[2]R_Est_Q4_5!H171</f>
        <v>0.23896638311252927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f>+[2]R_Est_Q4_5!E172</f>
        <v>0</v>
      </c>
      <c r="E10" s="70">
        <f>+[2]R_Est_Q4_5!F172</f>
        <v>0</v>
      </c>
      <c r="F10" s="271">
        <f>+[2]R_Est_Q4_5!G172</f>
        <v>0</v>
      </c>
      <c r="G10" s="271">
        <f>+[2]R_Est_Q4_5!H172</f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f>+[2]R_Est_Q4_5!E173</f>
        <v>642606.36834000016</v>
      </c>
      <c r="E11" s="70">
        <f>+[2]R_Est_Q4_5!F173</f>
        <v>712859.03272000013</v>
      </c>
      <c r="F11" s="271">
        <f>+[2]R_Est_Q4_5!G173</f>
        <v>0.9089943045562634</v>
      </c>
      <c r="G11" s="271">
        <f>+[2]R_Est_Q4_5!H173</f>
        <v>0.1093245691938578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f>+[2]R_Est_Q4_5!E174</f>
        <v>34339.11032</v>
      </c>
      <c r="E12" s="70">
        <f>+[2]R_Est_Q4_5!F174</f>
        <v>34545.989719999998</v>
      </c>
      <c r="F12" s="271">
        <f>+[2]R_Est_Q4_5!G174</f>
        <v>0.71970811916666666</v>
      </c>
      <c r="G12" s="271">
        <f>+[2]R_Est_Q4_5!H174</f>
        <v>6.0245998825283475E-3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f>+[2]R_Est_Q4_5!E175</f>
        <v>504963.83023999998</v>
      </c>
      <c r="E13" s="70">
        <f>+[2]R_Est_Q4_5!F175</f>
        <v>570101.51676999999</v>
      </c>
      <c r="F13" s="271">
        <f>+[2]R_Est_Q4_5!G175</f>
        <v>0.94696833589653873</v>
      </c>
      <c r="G13" s="271">
        <f>+[2]R_Est_Q4_5!H175</f>
        <v>0.1289947569097003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f>+[2]R_Est_Q4_5!E176</f>
        <v>6269.7534900000001</v>
      </c>
      <c r="E14" s="70">
        <f>+[2]R_Est_Q4_5!F176</f>
        <v>6020.0795199999993</v>
      </c>
      <c r="F14" s="271">
        <f>+[2]R_Est_Q4_5!G176</f>
        <v>0.79916096110447354</v>
      </c>
      <c r="G14" s="271">
        <f>+[2]R_Est_Q4_5!H176</f>
        <v>-3.9821975520763386E-2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f>+[2]R_Est_Q4_5!E177</f>
        <v>35982.681969999998</v>
      </c>
      <c r="E15" s="70">
        <f>+[2]R_Est_Q4_5!F177</f>
        <v>35087.512189999994</v>
      </c>
      <c r="F15" s="271">
        <f>+[2]R_Est_Q4_5!G177</f>
        <v>0.75641543414199475</v>
      </c>
      <c r="G15" s="271">
        <f>+[2]R_Est_Q4_5!H177</f>
        <v>-2.4877794844373691E-2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f>+[2]R_Est_Q4_5!E178</f>
        <v>8024.7762099999991</v>
      </c>
      <c r="E16" s="70">
        <f>+[2]R_Est_Q4_5!F178</f>
        <v>10122.663350000001</v>
      </c>
      <c r="F16" s="271">
        <f>+[2]R_Est_Q4_5!G178</f>
        <v>0.78922170546479575</v>
      </c>
      <c r="G16" s="271">
        <f>+[2]R_Est_Q4_5!H178</f>
        <v>0.26142624854581475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f>+[2]R_Est_Q4_5!E179</f>
        <v>53026.216110000001</v>
      </c>
      <c r="E17" s="70">
        <f>+[2]R_Est_Q4_5!F179</f>
        <v>56981.271170000007</v>
      </c>
      <c r="F17" s="271">
        <f>+[2]R_Est_Q4_5!G179</f>
        <v>0.84473629501530156</v>
      </c>
      <c r="G17" s="271">
        <f>+[2]R_Est_Q4_5!H179</f>
        <v>7.4586786501896762E-2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f>+[2]R_Est_Q4_5!E180</f>
        <v>29370.714760000003</v>
      </c>
      <c r="E18" s="70">
        <f>+[2]R_Est_Q4_5!F180</f>
        <v>32850.388929999994</v>
      </c>
      <c r="F18" s="271">
        <f>+[2]R_Est_Q4_5!G180</f>
        <v>0.87674842998500691</v>
      </c>
      <c r="G18" s="271">
        <f>+[2]R_Est_Q4_5!H180</f>
        <v>0.1184742761091726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f>+[2]R_Est_Q4_5!E181</f>
        <v>6654.0212499999998</v>
      </c>
      <c r="E19" s="70">
        <f>+[2]R_Est_Q4_5!F181</f>
        <v>7352.0197200000002</v>
      </c>
      <c r="F19" s="271">
        <f>+[2]R_Est_Q4_5!G181</f>
        <v>0.90528736147367384</v>
      </c>
      <c r="G19" s="271">
        <f>+[2]R_Est_Q4_5!H181</f>
        <v>0.10489874374837638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f>+[2]R_Est_Q4_5!E183</f>
        <v>311260.80113000004</v>
      </c>
      <c r="E21" s="33">
        <f>+[2]R_Est_Q4_5!F183</f>
        <v>405610.37125999999</v>
      </c>
      <c r="F21" s="270">
        <f>+[2]R_Est_Q4_5!G183</f>
        <v>0.64282765233495809</v>
      </c>
      <c r="G21" s="270">
        <f>+[2]R_Est_Q4_5!H183</f>
        <v>0.30312062999090683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f>+[2]R_Est_Q4_5!E185</f>
        <v>1330055.5393300001</v>
      </c>
      <c r="E23" s="139">
        <f>+[2]R_Est_Q4_5!F185</f>
        <v>1544795.6173100001</v>
      </c>
      <c r="F23" s="274">
        <f>+[2]R_Est_Q4_5!G185</f>
        <v>0.82413476353371795</v>
      </c>
      <c r="G23" s="274">
        <f>+[2]R_Est_Q4_5!H185</f>
        <v>0.16145196319258437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E52" sqref="E5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(janeiro-novembro)","TABLE V - Regional Gov. non-tax revenue budget execution (january-november)")</f>
        <v>TABLE V - Regional Gov. non-tax revenue budget execution (january-november)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+IF(Índice!$D$2=1,"Grau de Execução (%)","Execution level (%)")</f>
        <v>Execution level (%)</v>
      </c>
      <c r="G3" s="226" t="str">
        <f>+IF(Índice!$D$2=1,"VH (%)","yoy change (%)")</f>
        <v>yoy change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f>+[2]R_Est_Q4_5!E199</f>
        <v>1018794.7382000001</v>
      </c>
      <c r="E5" s="41">
        <f>+[2]R_Est_Q4_5!F199</f>
        <v>1139185.2460500002</v>
      </c>
      <c r="F5" s="276">
        <f>+[2]R_Est_Q4_5!G199</f>
        <v>0.91613629965853494</v>
      </c>
      <c r="G5" s="42">
        <f>+[2]R_Est_Q4_5!H199</f>
        <v>0.11816954224037834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f>+[2]R_Est_Q4_5!E201</f>
        <v>311260.80113000004</v>
      </c>
      <c r="E7" s="41">
        <f>+[2]R_Est_Q4_5!F201</f>
        <v>405610.37125999999</v>
      </c>
      <c r="F7" s="276">
        <f>+[2]R_Est_Q4_5!G201</f>
        <v>0.64282765233495809</v>
      </c>
      <c r="G7" s="42">
        <f>+[2]R_Est_Q4_5!H201</f>
        <v>0.30312062999090683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f>+[2]R_Est_Q4_5!E202</f>
        <v>235484.77146000002</v>
      </c>
      <c r="E8" s="41">
        <f>+[2]R_Est_Q4_5!F202</f>
        <v>261931.86807999999</v>
      </c>
      <c r="F8" s="276">
        <f>+[2]R_Est_Q4_5!G202</f>
        <v>0.72175534188348889</v>
      </c>
      <c r="G8" s="42">
        <f>+[2]R_Est_Q4_5!H202</f>
        <v>0.11230915891515436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f>+[2]R_Est_Q4_5!E203</f>
        <v>0</v>
      </c>
      <c r="E9" s="71">
        <f>+[2]R_Est_Q4_5!F203</f>
        <v>0</v>
      </c>
      <c r="F9" s="278">
        <f>+[2]R_Est_Q4_5!G203</f>
        <v>0</v>
      </c>
      <c r="G9" s="43">
        <f>+[2]R_Est_Q4_5!H203</f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f>+[2]R_Est_Q4_5!E204</f>
        <v>19726.778460000001</v>
      </c>
      <c r="E10" s="71">
        <f>+[2]R_Est_Q4_5!F204</f>
        <v>29082.185030000001</v>
      </c>
      <c r="F10" s="278">
        <f>+[2]R_Est_Q4_5!G204</f>
        <v>0.65588861245506558</v>
      </c>
      <c r="G10" s="43">
        <f>+[2]R_Est_Q4_5!H204</f>
        <v>0.4742490817225915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f>+[2]R_Est_Q4_5!E205</f>
        <v>8411.3706399999992</v>
      </c>
      <c r="E11" s="71">
        <f>+[2]R_Est_Q4_5!F205</f>
        <v>4852.3511099999996</v>
      </c>
      <c r="F11" s="278">
        <f>+[2]R_Est_Q4_5!G205</f>
        <v>0.65407608867077138</v>
      </c>
      <c r="G11" s="43">
        <f>+[2]R_Est_Q4_5!H205</f>
        <v>-0.42312004574797812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f>+[2]R_Est_Q4_5!E206</f>
        <v>195313.5313</v>
      </c>
      <c r="E12" s="71">
        <f>+[2]R_Est_Q4_5!F206</f>
        <v>215662.24631000002</v>
      </c>
      <c r="F12" s="278">
        <f>+[2]R_Est_Q4_5!G206</f>
        <v>0.77214576195030638</v>
      </c>
      <c r="G12" s="43">
        <f>+[2]R_Est_Q4_5!H206</f>
        <v>0.10418487072841121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f>+[2]R_Est_Q4_5!E207</f>
        <v>10498.09188</v>
      </c>
      <c r="E13" s="47">
        <f>+[2]R_Est_Q4_5!F207</f>
        <v>10431.804639999998</v>
      </c>
      <c r="F13" s="278">
        <f>+[2]R_Est_Q4_5!G207</f>
        <v>0.74848161934505331</v>
      </c>
      <c r="G13" s="43">
        <f>+[2]R_Est_Q4_5!H207</f>
        <v>-6.3142179319544134E-3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f>+[2]R_Est_Q4_5!E208</f>
        <v>1534.99918</v>
      </c>
      <c r="E14" s="71">
        <f>+[2]R_Est_Q4_5!F208</f>
        <v>1903.2809899999997</v>
      </c>
      <c r="F14" s="278">
        <f>+[2]R_Est_Q4_5!G208</f>
        <v>0.10626360146368644</v>
      </c>
      <c r="G14" s="43">
        <f>+[2]R_Est_Q4_5!H208</f>
        <v>0.23992313142473454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f>+[2]R_Est_Q4_5!E209</f>
        <v>0</v>
      </c>
      <c r="E15" s="71">
        <f>+[2]R_Est_Q4_5!F209</f>
        <v>0</v>
      </c>
      <c r="F15" s="278">
        <f>+[2]R_Est_Q4_5!G209</f>
        <v>0</v>
      </c>
      <c r="G15" s="43">
        <f>+[2]R_Est_Q4_5!H209</f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f>+[2]R_Est_Q4_5!E211</f>
        <v>75776.029670000018</v>
      </c>
      <c r="E17" s="41">
        <f>+[2]R_Est_Q4_5!F211</f>
        <v>143678.50318</v>
      </c>
      <c r="F17" s="276">
        <f>+[2]R_Est_Q4_5!G211</f>
        <v>0.5359759940088541</v>
      </c>
      <c r="G17" s="42">
        <f>+[2]R_Est_Q4_5!H211</f>
        <v>0.89609436923141939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f>+[2]R_Est_Q4_5!E212</f>
        <v>7634.4390199999998</v>
      </c>
      <c r="E18" s="71">
        <f>+[2]R_Est_Q4_5!F212</f>
        <v>1561.5444399999997</v>
      </c>
      <c r="F18" s="278">
        <f>+[2]R_Est_Q4_5!G212</f>
        <v>0.14570878518256139</v>
      </c>
      <c r="G18" s="43">
        <f>+[2]R_Est_Q4_5!H212</f>
        <v>-0.79546048689246063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f>+[2]R_Est_Q4_5!E213</f>
        <v>64320.403160000002</v>
      </c>
      <c r="E19" s="44">
        <f>+[2]R_Est_Q4_5!F213</f>
        <v>135231.11194</v>
      </c>
      <c r="F19" s="278">
        <f>+[2]R_Est_Q4_5!G213</f>
        <v>0.54561119334975505</v>
      </c>
      <c r="G19" s="43">
        <f>+[2]R_Est_Q4_5!H213</f>
        <v>1.1024605769899529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f>+[2]R_Est_Q4_5!E214</f>
        <v>8.2813999999999997</v>
      </c>
      <c r="E20" s="71">
        <f>+[2]R_Est_Q4_5!F214</f>
        <v>20.318390000000001</v>
      </c>
      <c r="F20" s="278">
        <f>+[2]R_Est_Q4_5!G214</f>
        <v>1.3226396302564771</v>
      </c>
      <c r="G20" s="43">
        <f>+[2]R_Est_Q4_5!H214</f>
        <v>1.453496993262009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f>+[2]R_Est_Q4_5!E216</f>
        <v>3812.9060899999999</v>
      </c>
      <c r="E21" s="47">
        <f>+[2]R_Est_Q4_5!F216</f>
        <v>6865.5284099999999</v>
      </c>
      <c r="F21" s="278">
        <f>+[2]R_Est_Q4_5!G216</f>
        <v>0.72389557326324305</v>
      </c>
      <c r="G21" s="43">
        <f>+[2]R_Est_Q4_5!H216</f>
        <v>0.80060254513113382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f>+[2]R_Est_Q4_5!E218</f>
        <v>1330055.5393300001</v>
      </c>
      <c r="E23" s="287">
        <f>+[2]R_Est_Q4_5!F218</f>
        <v>1544795.6173100001</v>
      </c>
      <c r="F23" s="288">
        <f>+[2]R_Est_Q4_5!G218</f>
        <v>0.82413476353371795</v>
      </c>
      <c r="G23" s="288">
        <f>+[2]R_Est_Q4_5!H218</f>
        <v>0.16145196319258437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topLeftCell="A10" zoomScale="120" zoomScaleNormal="120" workbookViewId="0">
      <selection activeCell="E52" sqref="E5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(janeiro-novembro)","TABLE VI - Regional Gov. expenditure budget execution (january-november)")</f>
        <v>TABLE VI - Regional Gov. expenditure budget execution (january-november)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7">
        <v>2023</v>
      </c>
      <c r="E3" s="329">
        <v>2024</v>
      </c>
      <c r="F3" s="153">
        <v>2023</v>
      </c>
      <c r="G3" s="153">
        <v>2024</v>
      </c>
      <c r="H3" s="330" t="str">
        <f>+IF(Índice!$D$2=1,"VH (%)","yoy change (%)")</f>
        <v>yoy change (%)</v>
      </c>
    </row>
    <row r="4" spans="1:15" ht="12" customHeight="1">
      <c r="C4" s="132"/>
      <c r="D4" s="328"/>
      <c r="E4" s="328"/>
      <c r="F4" s="326" t="str">
        <f>+IF(Índice!$D$2=1,"Grau de Execução (%)","Execution level (%)")</f>
        <v>Execution level (%)</v>
      </c>
      <c r="G4" s="326" t="str">
        <f>+IF(Índice!$D$2="PT","Grau de Execução (%)","Execution Level (%)")</f>
        <v>Execution Level (%)</v>
      </c>
      <c r="H4" s="331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f>+'[2]D_Est ECO_Q6'!F8</f>
        <v>1164296.2886000003</v>
      </c>
      <c r="E5" s="253">
        <f>+'[2]D_Est ECO_Q6'!H8</f>
        <v>1295693.2647100003</v>
      </c>
      <c r="F5" s="253">
        <f>+'[2]D_Est ECO_Q6'!I8</f>
        <v>79.794803803929895</v>
      </c>
      <c r="G5" s="253">
        <f>+'[2]D_Est ECO_Q6'!J8</f>
        <v>80.766543894191216</v>
      </c>
      <c r="H5" s="253">
        <f>+'[2]D_Est ECO_Q6'!L8</f>
        <v>11.285527352148247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f>+'[2]D_Est ECO_Q6'!F9</f>
        <v>407387.95296000008</v>
      </c>
      <c r="E6" s="74">
        <f>+'[2]D_Est ECO_Q6'!H9</f>
        <v>433817.66859000031</v>
      </c>
      <c r="F6" s="74">
        <f>+'[2]D_Est ECO_Q6'!I9</f>
        <v>91.298606325004471</v>
      </c>
      <c r="G6" s="74">
        <f>+'[2]D_Est ECO_Q6'!J9</f>
        <v>88.942524165579201</v>
      </c>
      <c r="H6" s="254">
        <f>+'[2]D_Est ECO_Q6'!L9</f>
        <v>6.4876036313708223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f>+'[2]D_Est ECO_Q6'!F10</f>
        <v>333779.19439999969</v>
      </c>
      <c r="E7" s="75">
        <f>+'[2]D_Est ECO_Q6'!H10</f>
        <v>348921.57293000031</v>
      </c>
      <c r="F7" s="75">
        <f>+'[2]D_Est ECO_Q6'!I10</f>
        <v>94.203877897401654</v>
      </c>
      <c r="G7" s="75">
        <f>+'[2]D_Est ECO_Q6'!J10</f>
        <v>90.971649865923226</v>
      </c>
      <c r="H7" s="254">
        <f>+'[2]D_Est ECO_Q6'!L10</f>
        <v>4.5366454183043112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f>+'[2]D_Est ECO_Q6'!F11</f>
        <v>6082.0380199999991</v>
      </c>
      <c r="E8" s="75">
        <f>+'[2]D_Est ECO_Q6'!H11</f>
        <v>12920.546969999998</v>
      </c>
      <c r="F8" s="75">
        <f>+'[2]D_Est ECO_Q6'!I11</f>
        <v>78.232170071198283</v>
      </c>
      <c r="G8" s="75">
        <f>+'[2]D_Est ECO_Q6'!J11</f>
        <v>89.684087086225574</v>
      </c>
      <c r="H8" s="254">
        <f>+'[2]D_Est ECO_Q6'!L11</f>
        <v>112.43778693116423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f>+'[2]D_Est ECO_Q6'!F12</f>
        <v>67526.72053999998</v>
      </c>
      <c r="E9" s="75">
        <f>+'[2]D_Est ECO_Q6'!H12</f>
        <v>71975.548689999952</v>
      </c>
      <c r="F9" s="75">
        <f>+'[2]D_Est ECO_Q6'!I12</f>
        <v>80.269740991331531</v>
      </c>
      <c r="G9" s="75">
        <f>+'[2]D_Est ECO_Q6'!J12</f>
        <v>80.156259681181936</v>
      </c>
      <c r="H9" s="254">
        <f>+'[2]D_Est ECO_Q6'!L12</f>
        <v>6.588248495445109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f>+'[2]D_Est ECO_Q6'!F13</f>
        <v>151997.98733000027</v>
      </c>
      <c r="E10" s="75">
        <f>+'[2]D_Est ECO_Q6'!H13</f>
        <v>157108.30921999991</v>
      </c>
      <c r="F10" s="75">
        <f>+'[2]D_Est ECO_Q6'!I13</f>
        <v>76.235537290103863</v>
      </c>
      <c r="G10" s="75">
        <f>+'[2]D_Est ECO_Q6'!J13</f>
        <v>69.660322714550475</v>
      </c>
      <c r="H10" s="254">
        <f>+'[2]D_Est ECO_Q6'!L13</f>
        <v>3.3620983933851107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f>+'[2]D_Est ECO_Q6'!F14</f>
        <v>100503.12182000003</v>
      </c>
      <c r="E11" s="75">
        <f>+'[2]D_Est ECO_Q6'!H14</f>
        <v>118160.18909000001</v>
      </c>
      <c r="F11" s="75">
        <f>+'[2]D_Est ECO_Q6'!I14</f>
        <v>70.235640676706453</v>
      </c>
      <c r="G11" s="75">
        <f>+'[2]D_Est ECO_Q6'!J14</f>
        <v>86.100112913675915</v>
      </c>
      <c r="H11" s="254">
        <f>+'[2]D_Est ECO_Q6'!L14</f>
        <v>17.568675430424534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f>+'[2]D_Est ECO_Q6'!F15</f>
        <v>484100.17851999984</v>
      </c>
      <c r="E12" s="74">
        <f>+'[2]D_Est ECO_Q6'!H15</f>
        <v>557297.72777000011</v>
      </c>
      <c r="F12" s="74">
        <f>+'[2]D_Est ECO_Q6'!I15</f>
        <v>76.759463938549516</v>
      </c>
      <c r="G12" s="74">
        <f>+'[2]D_Est ECO_Q6'!J15</f>
        <v>80.019986292820562</v>
      </c>
      <c r="H12" s="254">
        <f>+'[2]D_Est ECO_Q6'!L15</f>
        <v>15.120330976489452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f>+'[2]D_Est ECO_Q6'!F16</f>
        <v>410663.08611999988</v>
      </c>
      <c r="E13" s="74">
        <f>+'[2]D_Est ECO_Q6'!H16</f>
        <v>483373.3756400001</v>
      </c>
      <c r="F13" s="74">
        <f>+'[2]D_Est ECO_Q6'!I16</f>
        <v>79.460125448495916</v>
      </c>
      <c r="G13" s="74">
        <f>+'[2]D_Est ECO_Q6'!J16</f>
        <v>84.862674138616981</v>
      </c>
      <c r="H13" s="254">
        <f>+'[2]D_Est ECO_Q6'!L16</f>
        <v>17.705582015412396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f>+'[2]D_Est ECO_Q6'!F17</f>
        <v>230</v>
      </c>
      <c r="E14" s="75">
        <f>+'[2]D_Est ECO_Q6'!H17</f>
        <v>117.78400000000001</v>
      </c>
      <c r="F14" s="74">
        <f>+'[2]D_Est ECO_Q6'!I17</f>
        <v>63.48505341025146</v>
      </c>
      <c r="G14" s="74">
        <f>+'[2]D_Est ECO_Q6'!J17</f>
        <v>16.558627331069921</v>
      </c>
      <c r="H14" s="254">
        <f>+'[2]D_Est ECO_Q6'!L17</f>
        <v>-48.789565217391299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f>+'[2]D_Est ECO_Q6'!F18</f>
        <v>410433.08611999988</v>
      </c>
      <c r="E15" s="75">
        <f>+'[2]D_Est ECO_Q6'!H18</f>
        <v>483255.59164000012</v>
      </c>
      <c r="F15" s="75">
        <f>+'[2]D_Est ECO_Q6'!I18</f>
        <v>79.471331878950906</v>
      </c>
      <c r="G15" s="75">
        <f>+'[2]D_Est ECO_Q6'!J18</f>
        <v>84.948079489057989</v>
      </c>
      <c r="H15" s="254">
        <f>+'[2]D_Est ECO_Q6'!L18</f>
        <v>17.742844810203444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f>+'[2]D_Est ECO_Q6'!F19</f>
        <v>0</v>
      </c>
      <c r="E16" s="75">
        <f>+'[2]D_Est ECO_Q6'!H19</f>
        <v>0</v>
      </c>
      <c r="F16" s="75">
        <f>+'[2]D_Est ECO_Q6'!I19</f>
        <v>0</v>
      </c>
      <c r="G16" s="75">
        <f>+'[2]D_Est ECO_Q6'!J19</f>
        <v>0</v>
      </c>
      <c r="H16" s="254" t="str">
        <f>+'[2]D_Est ECO_Q6'!L19</f>
        <v>-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f>+'[2]D_Est ECO_Q6'!F20</f>
        <v>0</v>
      </c>
      <c r="E17" s="72">
        <f>+'[2]D_Est ECO_Q6'!H20</f>
        <v>0</v>
      </c>
      <c r="F17" s="72">
        <f>+'[2]D_Est ECO_Q6'!I20</f>
        <v>0</v>
      </c>
      <c r="G17" s="72">
        <f>+'[2]D_Est ECO_Q6'!J20</f>
        <v>0</v>
      </c>
      <c r="H17" s="77" t="str">
        <f>+'[2]D_Est ECO_Q6'!L20</f>
        <v>-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f>+'[2]D_Est ECO_Q6'!F21</f>
        <v>73437.092399999965</v>
      </c>
      <c r="E18" s="75">
        <f>+'[2]D_Est ECO_Q6'!H21</f>
        <v>73924.35212999997</v>
      </c>
      <c r="F18" s="72">
        <f>+'[2]D_Est ECO_Q6'!I21</f>
        <v>64.500490149355798</v>
      </c>
      <c r="G18" s="72">
        <f>+'[2]D_Est ECO_Q6'!J21</f>
        <v>58.275433713148985</v>
      </c>
      <c r="H18" s="77">
        <f>+'[2]D_Est ECO_Q6'!L21</f>
        <v>0.66350629372140757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f>+'[2]D_Est ECO_Q6'!F27</f>
        <v>19473.053340000002</v>
      </c>
      <c r="E19" s="72">
        <f>+'[2]D_Est ECO_Q6'!H27</f>
        <v>28402.098770000001</v>
      </c>
      <c r="F19" s="72">
        <f>+'[2]D_Est ECO_Q6'!I27</f>
        <v>54.52919196740411</v>
      </c>
      <c r="G19" s="72">
        <f>+'[2]D_Est ECO_Q6'!J27</f>
        <v>56.098771199818231</v>
      </c>
      <c r="H19" s="77">
        <f>+'[2]D_Est ECO_Q6'!L27</f>
        <v>45.853340378104249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f>+'[2]D_Est ECO_Q6'!F28</f>
        <v>833.99463000000026</v>
      </c>
      <c r="E20" s="72">
        <f>+'[2]D_Est ECO_Q6'!H28</f>
        <v>907.2712700000003</v>
      </c>
      <c r="F20" s="72">
        <f>+'[2]D_Est ECO_Q6'!I28</f>
        <v>20.635647097481055</v>
      </c>
      <c r="G20" s="72">
        <f>+'[2]D_Est ECO_Q6'!J28</f>
        <v>13.649568685245997</v>
      </c>
      <c r="H20" s="77">
        <f>+'[2]D_Est ECO_Q6'!L28</f>
        <v>8.7862244388791844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f>+'[2]D_Est ECO_Q6'!F30</f>
        <v>1063793.1667800003</v>
      </c>
      <c r="E22" s="78">
        <f>+'[2]D_Est ECO_Q6'!H30</f>
        <v>1177533.0756200003</v>
      </c>
      <c r="F22" s="78">
        <f>+'[2]D_Est ECO_Q6'!I30</f>
        <v>80.834196852328247</v>
      </c>
      <c r="G22" s="78">
        <f>+'[2]D_Est ECO_Q6'!J30</f>
        <v>80.267599056446571</v>
      </c>
      <c r="H22" s="76">
        <f>+'[2]D_Est ECO_Q6'!L30</f>
        <v>10.691919481329224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f>+'[2]D_Est ECO_Q6'!F32</f>
        <v>128465.86049999997</v>
      </c>
      <c r="E24" s="78">
        <f>+'[2]D_Est ECO_Q6'!H32</f>
        <v>132340.94716000001</v>
      </c>
      <c r="F24" s="78">
        <f>+'[2]D_Est ECO_Q6'!I32</f>
        <v>47.022015917994167</v>
      </c>
      <c r="G24" s="78">
        <f>+'[2]D_Est ECO_Q6'!J32</f>
        <v>41.896619334251724</v>
      </c>
      <c r="H24" s="76">
        <f>+'[2]D_Est ECO_Q6'!L32</f>
        <v>3.016433039033001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f>+'[2]D_Est ECO_Q6'!F33</f>
        <v>87509.88787999998</v>
      </c>
      <c r="E25" s="72">
        <f>+'[2]D_Est ECO_Q6'!H33</f>
        <v>92478.822480000017</v>
      </c>
      <c r="F25" s="72">
        <f>+'[2]D_Est ECO_Q6'!I33</f>
        <v>46.807809919033176</v>
      </c>
      <c r="G25" s="72">
        <f>+'[2]D_Est ECO_Q6'!J33</f>
        <v>48.082134273742021</v>
      </c>
      <c r="H25" s="77">
        <f>+'[2]D_Est ECO_Q6'!L33</f>
        <v>5.6781407454364548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f>+'[2]D_Est ECO_Q6'!F34</f>
        <v>40955.972619999986</v>
      </c>
      <c r="E26" s="59">
        <f>+'[2]D_Est ECO_Q6'!H34</f>
        <v>39862.124680000001</v>
      </c>
      <c r="F26" s="59">
        <f>+'[2]D_Est ECO_Q6'!I34</f>
        <v>47.486340734409964</v>
      </c>
      <c r="G26" s="59">
        <f>+'[2]D_Est ECO_Q6'!J34</f>
        <v>32.797562782243226</v>
      </c>
      <c r="H26" s="77">
        <f>+'[2]D_Est ECO_Q6'!L34</f>
        <v>-2.6707898018904026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f>+'[2]D_Est ECO_Q6'!F35</f>
        <v>34920.101249999985</v>
      </c>
      <c r="E27" s="59">
        <f>+'[2]D_Est ECO_Q6'!H35</f>
        <v>29682.541940000003</v>
      </c>
      <c r="F27" s="59">
        <f>+'[2]D_Est ECO_Q6'!I35</f>
        <v>47.955204983393749</v>
      </c>
      <c r="G27" s="59">
        <f>+'[2]D_Est ECO_Q6'!J35</f>
        <v>35.431942178112443</v>
      </c>
      <c r="H27" s="77">
        <f>+'[2]D_Est ECO_Q6'!L35</f>
        <v>-14.998694512662631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f>+'[2]D_Est ECO_Q6'!F36</f>
        <v>5865.9711399999997</v>
      </c>
      <c r="E28" s="72">
        <f>+'[2]D_Est ECO_Q6'!H36</f>
        <v>10137.75088</v>
      </c>
      <c r="F28" s="72">
        <f>+'[2]D_Est ECO_Q6'!I36</f>
        <v>66.227770685046451</v>
      </c>
      <c r="G28" s="72">
        <f>+'[2]D_Est ECO_Q6'!J36</f>
        <v>94.04626395792917</v>
      </c>
      <c r="H28" s="77">
        <f>+'[2]D_Est ECO_Q6'!L36</f>
        <v>72.823060974009508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f>+'[2]D_Est ECO_Q6'!F37</f>
        <v>28231.183309999989</v>
      </c>
      <c r="E29" s="72">
        <f>+'[2]D_Est ECO_Q6'!H37</f>
        <v>18290.456780000004</v>
      </c>
      <c r="F29" s="72">
        <f>+'[2]D_Est ECO_Q6'!I37</f>
        <v>48.062850072240202</v>
      </c>
      <c r="G29" s="72">
        <f>+'[2]D_Est ECO_Q6'!J37</f>
        <v>27.106226470763943</v>
      </c>
      <c r="H29" s="77">
        <f>+'[2]D_Est ECO_Q6'!L37</f>
        <v>-35.211866328248462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f>+'[2]D_Est ECO_Q6'!F38</f>
        <v>822.94680000000005</v>
      </c>
      <c r="E30" s="72">
        <f>+'[2]D_Est ECO_Q6'!H38</f>
        <v>1254.33428</v>
      </c>
      <c r="F30" s="72">
        <f>+'[2]D_Est ECO_Q6'!I38</f>
        <v>15.756679694051748</v>
      </c>
      <c r="G30" s="72">
        <f>+'[2]D_Est ECO_Q6'!J38</f>
        <v>22.736195022390273</v>
      </c>
      <c r="H30" s="77">
        <f>+'[2]D_Est ECO_Q6'!L38</f>
        <v>52.419850226041341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f>+'[2]D_Est ECO_Q6'!F46</f>
        <v>0</v>
      </c>
      <c r="E31" s="75">
        <f>+'[2]D_Est ECO_Q6'!H46</f>
        <v>0</v>
      </c>
      <c r="F31" s="75">
        <f>+'[2]D_Est ECO_Q6'!I46</f>
        <v>0</v>
      </c>
      <c r="G31" s="75">
        <f>+'[2]D_Est ECO_Q6'!J46</f>
        <v>0</v>
      </c>
      <c r="H31" s="77">
        <f>+'[2]D_Est ECO_Q6'!L46</f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f>+'[2]D_Est ECO_Q6'!F48</f>
        <v>1292762.1491000003</v>
      </c>
      <c r="E33" s="142">
        <f>+'[2]D_Est ECO_Q6'!H48</f>
        <v>1428034.2118700002</v>
      </c>
      <c r="F33" s="143">
        <f>+'[2]D_Est ECO_Q6'!I48</f>
        <v>74.626207455192969</v>
      </c>
      <c r="G33" s="143">
        <f>+'[2]D_Est ECO_Q6'!J48</f>
        <v>74.372132447886628</v>
      </c>
      <c r="H33" s="141">
        <f>+'[2]D_Est ECO_Q6'!L48</f>
        <v>10.463801315978669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f>+'[2]D_Est ECO_Q6'!F51</f>
        <v>24512.518009999996</v>
      </c>
      <c r="E36" s="150">
        <f>+'[2]D_Est ECO_Q6'!H51</f>
        <v>14258.04883</v>
      </c>
      <c r="F36" s="150">
        <f>+'[2]D_Est ECO_Q6'!I51</f>
        <v>22.646999926291631</v>
      </c>
      <c r="G36" s="150">
        <f>+'[2]D_Est ECO_Q6'!J51</f>
        <v>72.29086905769239</v>
      </c>
      <c r="H36" s="128">
        <f>+'[2]D_Est ECO_Q6'!L51</f>
        <v>-41.833601818534667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f>+'[2]D_Est ECO_Q6'!F52</f>
        <v>214606.04019999996</v>
      </c>
      <c r="E37" s="150">
        <f>+'[2]D_Est ECO_Q6'!H52</f>
        <v>233330.28303999998</v>
      </c>
      <c r="F37" s="150">
        <f>+'[2]D_Est ECO_Q6'!I52</f>
        <v>83.685455597197176</v>
      </c>
      <c r="G37" s="150">
        <f>+'[2]D_Est ECO_Q6'!J52</f>
        <v>88.60996248882384</v>
      </c>
      <c r="H37" s="128">
        <f>+'[2]D_Est ECO_Q6'!L52</f>
        <v>8.7249374819786762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E52" sqref="E52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(janeiro-novembro)","TABLE VII - Regional Gov. expenditure by functional classification (january-november)")</f>
        <v>TABLE VII - Regional Gov. expenditure by functional classification (january-november)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29">
        <v>2023</v>
      </c>
      <c r="E3" s="332">
        <v>2024</v>
      </c>
      <c r="F3" s="333" t="str">
        <f>+IF(Índice!$D$2=1,"Peso na estrutura
 em 2024","Weight in 2024 structure")</f>
        <v>Weight in 2024 structure</v>
      </c>
      <c r="M3" s="7"/>
      <c r="N3" s="7"/>
      <c r="P3" s="9"/>
      <c r="Q3" s="9"/>
    </row>
    <row r="4" spans="2:17" ht="13.5" customHeight="1">
      <c r="C4" s="134"/>
      <c r="D4" s="328"/>
      <c r="E4" s="328"/>
      <c r="F4" s="328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f>+[2]D_Est_Func_Q7!D8</f>
        <v>186407.6550500002</v>
      </c>
      <c r="E5" s="34">
        <f>+[2]D_Est_Func_Q7!E8</f>
        <v>211326.18845000002</v>
      </c>
      <c r="F5" s="34">
        <f>+[2]D_Est_Func_Q7!F8</f>
        <v>14.798398154149961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f>+[2]D_Est_Func_Q7!D9</f>
        <v>0</v>
      </c>
      <c r="E6" s="34">
        <f>+[2]D_Est_Func_Q7!E9</f>
        <v>0</v>
      </c>
      <c r="F6" s="34">
        <f>+[2]D_Est_Func_Q7!F9</f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f>+[2]D_Est_Func_Q7!D10</f>
        <v>10412.995040000002</v>
      </c>
      <c r="E7" s="34">
        <f>+[2]D_Est_Func_Q7!E10</f>
        <v>11890.090489999997</v>
      </c>
      <c r="F7" s="34">
        <f>+[2]D_Est_Func_Q7!F10</f>
        <v>0.83261944224921702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f>+[2]D_Est_Func_Q7!D11</f>
        <v>226893.92473999993</v>
      </c>
      <c r="E8" s="34">
        <f>+[2]D_Est_Func_Q7!E11</f>
        <v>229468.25194999986</v>
      </c>
      <c r="F8" s="34">
        <f>+[2]D_Est_Func_Q7!F11</f>
        <v>16.068820343562564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f>+[2]D_Est_Func_Q7!D12</f>
        <v>15846.783150000003</v>
      </c>
      <c r="E9" s="34">
        <f>+[2]D_Est_Func_Q7!E12</f>
        <v>22818.35818000001</v>
      </c>
      <c r="F9" s="34">
        <f>+[2]D_Est_Func_Q7!F12</f>
        <v>1.5978859603174034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f>+[2]D_Est_Func_Q7!D13</f>
        <v>82779.029529999971</v>
      </c>
      <c r="E10" s="34">
        <f>+[2]D_Est_Func_Q7!E13</f>
        <v>71189.100970000014</v>
      </c>
      <c r="F10" s="34">
        <f>+[2]D_Est_Func_Q7!F13</f>
        <v>4.9851117275949868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f>+[2]D_Est_Func_Q7!D14</f>
        <v>345123.1350999999</v>
      </c>
      <c r="E11" s="34">
        <f>+[2]D_Est_Func_Q7!E14</f>
        <v>416889.03103000007</v>
      </c>
      <c r="F11" s="34">
        <f>+[2]D_Est_Func_Q7!F14</f>
        <v>29.193210328209645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f>+[2]D_Est_Func_Q7!D15</f>
        <v>30946.725919999964</v>
      </c>
      <c r="E12" s="34">
        <f>+[2]D_Est_Func_Q7!E15</f>
        <v>29060.762479999961</v>
      </c>
      <c r="F12" s="34">
        <f>+[2]D_Est_Func_Q7!F15</f>
        <v>2.035018645802968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f>+[2]D_Est_Func_Q7!D16</f>
        <v>375805.57714999944</v>
      </c>
      <c r="E13" s="34">
        <f>+[2]D_Est_Func_Q7!E16</f>
        <v>406329.73172999988</v>
      </c>
      <c r="F13" s="34">
        <f>+[2]D_Est_Func_Q7!F16</f>
        <v>28.453781313678345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f>+[2]D_Est_Func_Q7!D17</f>
        <v>18546.323420000004</v>
      </c>
      <c r="E14" s="34">
        <f>+[2]D_Est_Func_Q7!E17</f>
        <v>29062.69659</v>
      </c>
      <c r="F14" s="34">
        <f>+[2]D_Est_Func_Q7!F17</f>
        <v>2.0351540844348972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f>+[2]D_Est_Func_Q7!D19</f>
        <v>1292762.1490999996</v>
      </c>
      <c r="E17" s="145">
        <f>+[2]D_Est_Func_Q7!E19</f>
        <v>1428034.21187</v>
      </c>
      <c r="F17" s="145">
        <f>+[2]D_Est_Func_Q7!F19</f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f>+[2]D_Est_Func_Q7!D22</f>
        <v>24512.518009999996</v>
      </c>
      <c r="E20" s="152">
        <f>+[2]D_Est_Func_Q7!E22</f>
        <v>14258.04883</v>
      </c>
      <c r="F20" s="152">
        <f>+[2]D_Est_Func_Q7!F22</f>
        <v>0.99843888273021086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f>+[2]D_Est_Func_Q7!D23</f>
        <v>214606.04019999996</v>
      </c>
      <c r="E21" s="283">
        <f>+[2]D_Est_Func_Q7!E23</f>
        <v>233330.28303999998</v>
      </c>
      <c r="F21" s="283">
        <f>+[2]D_Est_Func_Q7!F23</f>
        <v>16.339264220739906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5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2024-12-20T14:11:21Z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