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5\Novembro\"/>
    </mc:Choice>
  </mc:AlternateContent>
  <xr:revisionPtr revIDLastSave="0" documentId="13_ncr:1_{4450F562-24E3-4FE0-A74A-E6D11FBCE26A}" xr6:coauthVersionLast="47" xr6:coauthVersionMax="47" xr10:uidLastSave="{00000000-0000-0000-0000-000000000000}"/>
  <bookViews>
    <workbookView xWindow="-120" yWindow="-120" windowWidth="29040" windowHeight="15720" tabRatio="953" firstSheet="5" activeTab="16" xr2:uid="{00000000-000D-0000-FFFF-FFFF00000000}"/>
  </bookViews>
  <sheets>
    <sheet name="CAPA ENG" sheetId="59" r:id="rId1"/>
    <sheet name="CAPA (PT)" sheetId="56" r:id="rId2"/>
    <sheet name="Índice" sheetId="54" r:id="rId3"/>
    <sheet name="Q1_Consolidado" sheetId="32" r:id="rId4"/>
    <sheet name="Q2_Global_Est" sheetId="8" r:id="rId5"/>
    <sheet name="Q3_Global_M" sheetId="60" r:id="rId6"/>
    <sheet name="Q4_ R_fiscal" sheetId="9" r:id="rId7"/>
    <sheet name="Q5_R_n_fiscal" sheetId="50" r:id="rId8"/>
    <sheet name="Q6_D_Est ECO" sheetId="10" r:id="rId9"/>
    <sheet name="Q7_D_Est_Func" sheetId="11" r:id="rId10"/>
    <sheet name="Q8_D_Est_Org" sheetId="12" r:id="rId11"/>
    <sheet name="Q9_Saldo_Global EPR" sheetId="39" r:id="rId12"/>
    <sheet name="Q10_SFA " sheetId="13" r:id="rId13"/>
    <sheet name="Q11_SFA acumulado" sheetId="51" r:id="rId14"/>
    <sheet name="Q12_SFA Mes" sheetId="61" r:id="rId15"/>
    <sheet name="Q_13_14_15_16_Compromissos" sheetId="38" r:id="rId16"/>
    <sheet name="Pagamentos_Atraso " sheetId="53" r:id="rId17"/>
  </sheets>
  <externalReferences>
    <externalReference r:id="rId18"/>
    <externalReference r:id="rId19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1">'CAPA (PT)'!$A$1:$M$68</definedName>
    <definedName name="_xlnm.Print_Area" localSheetId="0">'CAPA ENG'!$A$1:$M$68</definedName>
    <definedName name="_xlnm.Print_Area" localSheetId="2">Índice!$A$1:$D$20</definedName>
    <definedName name="_xlnm.Print_Area" localSheetId="16">'Pagamentos_Atraso '!$C$1:$C$67</definedName>
    <definedName name="_xlnm.Print_Area" localSheetId="15">Q_13_14_15_16_Compromissos!$C$1:$I$48</definedName>
    <definedName name="_xlnm.Print_Area" localSheetId="3">Q1_Consolidado!$C$1:$H$53</definedName>
    <definedName name="_xlnm.Print_Area" localSheetId="12">'Q10_SFA '!$C$1:$F$12</definedName>
    <definedName name="_xlnm.Print_Area" localSheetId="13">'Q11_SFA acumulado'!$C$1:$F$45</definedName>
    <definedName name="_xlnm.Print_Area" localSheetId="14">'Q12_SFA Mes'!$C$1:$F$32</definedName>
    <definedName name="_xlnm.Print_Area" localSheetId="4">Q2_Global_Est!$C$1:$F$38</definedName>
    <definedName name="_xlnm.Print_Area" localSheetId="5">Q3_Global_M!$C$1:$F$33</definedName>
    <definedName name="_xlnm.Print_Area" localSheetId="6">'Q4_ R_fiscal'!$C$1:$F$24</definedName>
    <definedName name="_xlnm.Print_Area" localSheetId="7">Q5_R_n_fiscal!$C$1:$F$25</definedName>
    <definedName name="_xlnm.Print_Area" localSheetId="8">'Q6_D_Est ECO'!$C$1:$H$39</definedName>
    <definedName name="_xlnm.Print_Area" localSheetId="9">Q7_D_Est_Func!$C$1:$F$22</definedName>
    <definedName name="_xlnm.Print_Area" localSheetId="10">Q8_D_Est_Org!$C$1:$N$45</definedName>
    <definedName name="_xlnm.Print_Area" localSheetId="11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8">'Q6_D_Est ECO'!$C:$C</definedName>
    <definedName name="_xlnm.Print_Titles" localSheetId="10">Q8_D_Est_Org!$C:$C</definedName>
    <definedName name="Z_0011D0C0_6BC7_4DE9_8F83_86F2D0A38DF4_.wvu.Cols" localSheetId="12" hidden="1">'Q10_SFA '!$Q:$Q</definedName>
    <definedName name="Z_0011D0C0_6BC7_4DE9_8F83_86F2D0A38DF4_.wvu.Cols" localSheetId="13" hidden="1">'Q11_SFA acumulado'!#REF!</definedName>
    <definedName name="Z_0011D0C0_6BC7_4DE9_8F83_86F2D0A38DF4_.wvu.Cols" localSheetId="14" hidden="1">'Q12_SFA Mes'!#REF!</definedName>
    <definedName name="Z_0011D0C0_6BC7_4DE9_8F83_86F2D0A38DF4_.wvu.Cols" localSheetId="6" hidden="1">'Q4_ R_fiscal'!$D:$D</definedName>
    <definedName name="Z_0011D0C0_6BC7_4DE9_8F83_86F2D0A38DF4_.wvu.Cols" localSheetId="7" hidden="1">Q5_R_n_fiscal!$D:$D</definedName>
    <definedName name="Z_0011D0C0_6BC7_4DE9_8F83_86F2D0A38DF4_.wvu.Cols" localSheetId="8" hidden="1">'Q6_D_Est ECO'!#REF!</definedName>
    <definedName name="Z_0011D0C0_6BC7_4DE9_8F83_86F2D0A38DF4_.wvu.PrintArea" localSheetId="12" hidden="1">'Q10_SFA '!$C$1:$R$12</definedName>
    <definedName name="Z_0011D0C0_6BC7_4DE9_8F83_86F2D0A38DF4_.wvu.PrintArea" localSheetId="13" hidden="1">'Q11_SFA acumulado'!$C$1:$F$46</definedName>
    <definedName name="Z_0011D0C0_6BC7_4DE9_8F83_86F2D0A38DF4_.wvu.PrintArea" localSheetId="14" hidden="1">'Q12_SFA Mes'!$C$1:$F$33</definedName>
    <definedName name="Z_0011D0C0_6BC7_4DE9_8F83_86F2D0A38DF4_.wvu.PrintArea" localSheetId="4" hidden="1">Q2_Global_Est!$B$1:$H$37</definedName>
    <definedName name="Z_0011D0C0_6BC7_4DE9_8F83_86F2D0A38DF4_.wvu.PrintArea" localSheetId="5" hidden="1">Q3_Global_M!$B$1:$H$32</definedName>
    <definedName name="Z_0011D0C0_6BC7_4DE9_8F83_86F2D0A38DF4_.wvu.PrintArea" localSheetId="6" hidden="1">'Q4_ R_fiscal'!#REF!</definedName>
    <definedName name="Z_0011D0C0_6BC7_4DE9_8F83_86F2D0A38DF4_.wvu.PrintArea" localSheetId="7" hidden="1">Q5_R_n_fiscal!#REF!</definedName>
    <definedName name="Z_0011D0C0_6BC7_4DE9_8F83_86F2D0A38DF4_.wvu.PrintArea" localSheetId="8" hidden="1">'Q6_D_Est ECO'!$B$1:$H$40</definedName>
    <definedName name="Z_0011D0C0_6BC7_4DE9_8F83_86F2D0A38DF4_.wvu.PrintArea" localSheetId="9" hidden="1">Q7_D_Est_Func!$B$1:$F$22</definedName>
    <definedName name="Z_0011D0C0_6BC7_4DE9_8F83_86F2D0A38DF4_.wvu.PrintArea" localSheetId="10" hidden="1">Q8_D_Est_Org!$B$1:$AE$46</definedName>
    <definedName name="Z_0011D0C0_6BC7_4DE9_8F83_86F2D0A38DF4_.wvu.PrintTitles" localSheetId="8" hidden="1">'Q6_D_Est ECO'!$C:$C</definedName>
    <definedName name="Z_0011D0C0_6BC7_4DE9_8F83_86F2D0A38DF4_.wvu.PrintTitles" localSheetId="10" hidden="1">Q8_D_Est_Org!$C:$C</definedName>
    <definedName name="Z_2EA2D52B_13B2_48C6_A647_E974628AB287_.wvu.Cols" localSheetId="12" hidden="1">'Q10_SFA '!$Q:$Q</definedName>
    <definedName name="Z_2EA2D52B_13B2_48C6_A647_E974628AB287_.wvu.Cols" localSheetId="13" hidden="1">'Q11_SFA acumulado'!#REF!</definedName>
    <definedName name="Z_2EA2D52B_13B2_48C6_A647_E974628AB287_.wvu.Cols" localSheetId="14" hidden="1">'Q12_SFA Mes'!#REF!</definedName>
    <definedName name="Z_2EA2D52B_13B2_48C6_A647_E974628AB287_.wvu.Cols" localSheetId="6" hidden="1">'Q4_ R_fiscal'!$D:$D</definedName>
    <definedName name="Z_2EA2D52B_13B2_48C6_A647_E974628AB287_.wvu.Cols" localSheetId="7" hidden="1">Q5_R_n_fiscal!$D:$D</definedName>
    <definedName name="Z_2EA2D52B_13B2_48C6_A647_E974628AB287_.wvu.Cols" localSheetId="8" hidden="1">'Q6_D_Est ECO'!#REF!</definedName>
    <definedName name="Z_2EA2D52B_13B2_48C6_A647_E974628AB287_.wvu.PrintArea" localSheetId="12" hidden="1">'Q10_SFA '!$C$1:$R$12</definedName>
    <definedName name="Z_2EA2D52B_13B2_48C6_A647_E974628AB287_.wvu.PrintArea" localSheetId="13" hidden="1">'Q11_SFA acumulado'!$C$1:$F$46</definedName>
    <definedName name="Z_2EA2D52B_13B2_48C6_A647_E974628AB287_.wvu.PrintArea" localSheetId="14" hidden="1">'Q12_SFA Mes'!$C$1:$F$33</definedName>
    <definedName name="Z_2EA2D52B_13B2_48C6_A647_E974628AB287_.wvu.PrintArea" localSheetId="4" hidden="1">Q2_Global_Est!$B$1:$H$37</definedName>
    <definedName name="Z_2EA2D52B_13B2_48C6_A647_E974628AB287_.wvu.PrintArea" localSheetId="5" hidden="1">Q3_Global_M!$B$1:$H$32</definedName>
    <definedName name="Z_2EA2D52B_13B2_48C6_A647_E974628AB287_.wvu.PrintArea" localSheetId="6" hidden="1">'Q4_ R_fiscal'!#REF!</definedName>
    <definedName name="Z_2EA2D52B_13B2_48C6_A647_E974628AB287_.wvu.PrintArea" localSheetId="7" hidden="1">Q5_R_n_fiscal!#REF!</definedName>
    <definedName name="Z_2EA2D52B_13B2_48C6_A647_E974628AB287_.wvu.PrintArea" localSheetId="8" hidden="1">'Q6_D_Est ECO'!$B$1:$H$40</definedName>
    <definedName name="Z_2EA2D52B_13B2_48C6_A647_E974628AB287_.wvu.PrintArea" localSheetId="9" hidden="1">Q7_D_Est_Func!$B$1:$F$22</definedName>
    <definedName name="Z_2EA2D52B_13B2_48C6_A647_E974628AB287_.wvu.PrintArea" localSheetId="10" hidden="1">Q8_D_Est_Org!$B$1:$AE$46</definedName>
    <definedName name="Z_2EA2D52B_13B2_48C6_A647_E974628AB287_.wvu.PrintTitles" localSheetId="8" hidden="1">'Q6_D_Est ECO'!$C:$C</definedName>
    <definedName name="Z_2EA2D52B_13B2_48C6_A647_E974628AB287_.wvu.PrintTitles" localSheetId="10" hidden="1">Q8_D_Est_Org!$C:$C</definedName>
    <definedName name="Z_397AD331_8EE9_49A3_85C5_CAAF9519E963_.wvu.Cols" localSheetId="12" hidden="1">'Q10_SFA '!$Q:$Q</definedName>
    <definedName name="Z_397AD331_8EE9_49A3_85C5_CAAF9519E963_.wvu.Cols" localSheetId="13" hidden="1">'Q11_SFA acumulado'!#REF!</definedName>
    <definedName name="Z_397AD331_8EE9_49A3_85C5_CAAF9519E963_.wvu.Cols" localSheetId="14" hidden="1">'Q12_SFA Mes'!#REF!</definedName>
    <definedName name="Z_397AD331_8EE9_49A3_85C5_CAAF9519E963_.wvu.Cols" localSheetId="6" hidden="1">'Q4_ R_fiscal'!$D:$D</definedName>
    <definedName name="Z_397AD331_8EE9_49A3_85C5_CAAF9519E963_.wvu.Cols" localSheetId="7" hidden="1">Q5_R_n_fiscal!$D:$D</definedName>
    <definedName name="Z_397AD331_8EE9_49A3_85C5_CAAF9519E963_.wvu.Cols" localSheetId="8" hidden="1">'Q6_D_Est ECO'!#REF!</definedName>
    <definedName name="Z_397AD331_8EE9_49A3_85C5_CAAF9519E963_.wvu.Cols" localSheetId="10" hidden="1">Q8_D_Est_Org!$O:$AC</definedName>
    <definedName name="Z_397AD331_8EE9_49A3_85C5_CAAF9519E963_.wvu.PrintArea" localSheetId="12" hidden="1">'Q10_SFA '!$C$1:$R$12</definedName>
    <definedName name="Z_397AD331_8EE9_49A3_85C5_CAAF9519E963_.wvu.PrintArea" localSheetId="13" hidden="1">'Q11_SFA acumulado'!$C$1:$F$46</definedName>
    <definedName name="Z_397AD331_8EE9_49A3_85C5_CAAF9519E963_.wvu.PrintArea" localSheetId="14" hidden="1">'Q12_SFA Mes'!$C$1:$F$33</definedName>
    <definedName name="Z_397AD331_8EE9_49A3_85C5_CAAF9519E963_.wvu.PrintArea" localSheetId="4" hidden="1">Q2_Global_Est!$B$1:$H$37</definedName>
    <definedName name="Z_397AD331_8EE9_49A3_85C5_CAAF9519E963_.wvu.PrintArea" localSheetId="5" hidden="1">Q3_Global_M!$B$1:$H$32</definedName>
    <definedName name="Z_397AD331_8EE9_49A3_85C5_CAAF9519E963_.wvu.PrintArea" localSheetId="6" hidden="1">'Q4_ R_fiscal'!#REF!</definedName>
    <definedName name="Z_397AD331_8EE9_49A3_85C5_CAAF9519E963_.wvu.PrintArea" localSheetId="7" hidden="1">Q5_R_n_fiscal!#REF!</definedName>
    <definedName name="Z_397AD331_8EE9_49A3_85C5_CAAF9519E963_.wvu.PrintArea" localSheetId="8" hidden="1">'Q6_D_Est ECO'!$B$1:$H$40</definedName>
    <definedName name="Z_397AD331_8EE9_49A3_85C5_CAAF9519E963_.wvu.PrintArea" localSheetId="9" hidden="1">Q7_D_Est_Func!$B$1:$F$22</definedName>
    <definedName name="Z_397AD331_8EE9_49A3_85C5_CAAF9519E963_.wvu.PrintArea" localSheetId="10" hidden="1">Q8_D_Est_Org!$B$1:$AE$46</definedName>
    <definedName name="Z_397AD331_8EE9_49A3_85C5_CAAF9519E963_.wvu.PrintTitles" localSheetId="8" hidden="1">'Q6_D_Est ECO'!$C:$C</definedName>
    <definedName name="Z_397AD331_8EE9_49A3_85C5_CAAF9519E963_.wvu.PrintTitles" localSheetId="10" hidden="1">Q8_D_Est_Org!$C:$C</definedName>
    <definedName name="Z_409D0809_DA86_4C14_803D_2162A19A44FF_.wvu.Cols" localSheetId="12" hidden="1">'Q10_SFA '!$Q:$Q</definedName>
    <definedName name="Z_409D0809_DA86_4C14_803D_2162A19A44FF_.wvu.Cols" localSheetId="13" hidden="1">'Q11_SFA acumulado'!#REF!</definedName>
    <definedName name="Z_409D0809_DA86_4C14_803D_2162A19A44FF_.wvu.Cols" localSheetId="14" hidden="1">'Q12_SFA Mes'!#REF!</definedName>
    <definedName name="Z_409D0809_DA86_4C14_803D_2162A19A44FF_.wvu.Cols" localSheetId="6" hidden="1">'Q4_ R_fiscal'!$D:$D</definedName>
    <definedName name="Z_409D0809_DA86_4C14_803D_2162A19A44FF_.wvu.Cols" localSheetId="7" hidden="1">Q5_R_n_fiscal!$D:$D</definedName>
    <definedName name="Z_409D0809_DA86_4C14_803D_2162A19A44FF_.wvu.Cols" localSheetId="8" hidden="1">'Q6_D_Est ECO'!#REF!</definedName>
    <definedName name="Z_409D0809_DA86_4C14_803D_2162A19A44FF_.wvu.PrintArea" localSheetId="12" hidden="1">'Q10_SFA '!$C$1:$R$12</definedName>
    <definedName name="Z_409D0809_DA86_4C14_803D_2162A19A44FF_.wvu.PrintArea" localSheetId="13" hidden="1">'Q11_SFA acumulado'!$C$1:$F$46</definedName>
    <definedName name="Z_409D0809_DA86_4C14_803D_2162A19A44FF_.wvu.PrintArea" localSheetId="14" hidden="1">'Q12_SFA Mes'!$C$1:$F$33</definedName>
    <definedName name="Z_409D0809_DA86_4C14_803D_2162A19A44FF_.wvu.PrintArea" localSheetId="4" hidden="1">Q2_Global_Est!$B$1:$H$37</definedName>
    <definedName name="Z_409D0809_DA86_4C14_803D_2162A19A44FF_.wvu.PrintArea" localSheetId="5" hidden="1">Q3_Global_M!$B$1:$H$32</definedName>
    <definedName name="Z_409D0809_DA86_4C14_803D_2162A19A44FF_.wvu.PrintArea" localSheetId="6" hidden="1">'Q4_ R_fiscal'!#REF!</definedName>
    <definedName name="Z_409D0809_DA86_4C14_803D_2162A19A44FF_.wvu.PrintArea" localSheetId="7" hidden="1">Q5_R_n_fiscal!#REF!</definedName>
    <definedName name="Z_409D0809_DA86_4C14_803D_2162A19A44FF_.wvu.PrintArea" localSheetId="8" hidden="1">'Q6_D_Est ECO'!$B$1:$H$40</definedName>
    <definedName name="Z_409D0809_DA86_4C14_803D_2162A19A44FF_.wvu.PrintArea" localSheetId="9" hidden="1">Q7_D_Est_Func!$B$1:$F$22</definedName>
    <definedName name="Z_409D0809_DA86_4C14_803D_2162A19A44FF_.wvu.PrintArea" localSheetId="10" hidden="1">Q8_D_Est_Org!$B$1:$AE$46</definedName>
    <definedName name="Z_409D0809_DA86_4C14_803D_2162A19A44FF_.wvu.PrintTitles" localSheetId="8" hidden="1">'Q6_D_Est ECO'!$C:$C</definedName>
    <definedName name="Z_409D0809_DA86_4C14_803D_2162A19A44FF_.wvu.PrintTitles" localSheetId="10" hidden="1">Q8_D_Est_Org!$C:$C</definedName>
    <definedName name="Z_43AB44CB_B133_4B3C_9B24_AA3B4A5A58A7_.wvu.Cols" localSheetId="12" hidden="1">'Q10_SFA '!$Q:$Q</definedName>
    <definedName name="Z_43AB44CB_B133_4B3C_9B24_AA3B4A5A58A7_.wvu.Cols" localSheetId="13" hidden="1">'Q11_SFA acumulado'!#REF!</definedName>
    <definedName name="Z_43AB44CB_B133_4B3C_9B24_AA3B4A5A58A7_.wvu.Cols" localSheetId="14" hidden="1">'Q12_SFA Mes'!#REF!</definedName>
    <definedName name="Z_43AB44CB_B133_4B3C_9B24_AA3B4A5A58A7_.wvu.Cols" localSheetId="8" hidden="1">'Q6_D_Est ECO'!#REF!</definedName>
    <definedName name="Z_43AB44CB_B133_4B3C_9B24_AA3B4A5A58A7_.wvu.Cols" localSheetId="10" hidden="1">Q8_D_Est_Org!$O:$AC</definedName>
    <definedName name="Z_43AB44CB_B133_4B3C_9B24_AA3B4A5A58A7_.wvu.PrintArea" localSheetId="12" hidden="1">'Q10_SFA '!$C$1:$R$12</definedName>
    <definedName name="Z_43AB44CB_B133_4B3C_9B24_AA3B4A5A58A7_.wvu.PrintArea" localSheetId="13" hidden="1">'Q11_SFA acumulado'!$C$1:$F$46</definedName>
    <definedName name="Z_43AB44CB_B133_4B3C_9B24_AA3B4A5A58A7_.wvu.PrintArea" localSheetId="14" hidden="1">'Q12_SFA Mes'!$C$1:$F$33</definedName>
    <definedName name="Z_43AB44CB_B133_4B3C_9B24_AA3B4A5A58A7_.wvu.PrintArea" localSheetId="4" hidden="1">Q2_Global_Est!$B$1:$H$37</definedName>
    <definedName name="Z_43AB44CB_B133_4B3C_9B24_AA3B4A5A58A7_.wvu.PrintArea" localSheetId="5" hidden="1">Q3_Global_M!$B$1:$H$32</definedName>
    <definedName name="Z_43AB44CB_B133_4B3C_9B24_AA3B4A5A58A7_.wvu.PrintArea" localSheetId="6" hidden="1">'Q4_ R_fiscal'!#REF!</definedName>
    <definedName name="Z_43AB44CB_B133_4B3C_9B24_AA3B4A5A58A7_.wvu.PrintArea" localSheetId="7" hidden="1">Q5_R_n_fiscal!#REF!</definedName>
    <definedName name="Z_43AB44CB_B133_4B3C_9B24_AA3B4A5A58A7_.wvu.PrintArea" localSheetId="8" hidden="1">'Q6_D_Est ECO'!$B$1:$H$40</definedName>
    <definedName name="Z_43AB44CB_B133_4B3C_9B24_AA3B4A5A58A7_.wvu.PrintArea" localSheetId="9" hidden="1">Q7_D_Est_Func!$B$1:$F$22</definedName>
    <definedName name="Z_43AB44CB_B133_4B3C_9B24_AA3B4A5A58A7_.wvu.PrintArea" localSheetId="10" hidden="1">Q8_D_Est_Org!$B$1:$AE$46</definedName>
    <definedName name="Z_43AB44CB_B133_4B3C_9B24_AA3B4A5A58A7_.wvu.PrintTitles" localSheetId="8" hidden="1">'Q6_D_Est ECO'!$C:$C</definedName>
    <definedName name="Z_43AB44CB_B133_4B3C_9B24_AA3B4A5A58A7_.wvu.PrintTitles" localSheetId="10" hidden="1">Q8_D_Est_Org!$C:$C</definedName>
    <definedName name="Z_60062E94_E9B0_4825_A812_182FE1DB6021_.wvu.Cols" localSheetId="12" hidden="1">'Q10_SFA '!$Q:$Q</definedName>
    <definedName name="Z_60062E94_E9B0_4825_A812_182FE1DB6021_.wvu.Cols" localSheetId="13" hidden="1">'Q11_SFA acumulado'!#REF!</definedName>
    <definedName name="Z_60062E94_E9B0_4825_A812_182FE1DB6021_.wvu.Cols" localSheetId="14" hidden="1">'Q12_SFA Mes'!#REF!</definedName>
    <definedName name="Z_60062E94_E9B0_4825_A812_182FE1DB6021_.wvu.Cols" localSheetId="6" hidden="1">'Q4_ R_fiscal'!$D:$D</definedName>
    <definedName name="Z_60062E94_E9B0_4825_A812_182FE1DB6021_.wvu.Cols" localSheetId="7" hidden="1">Q5_R_n_fiscal!$D:$D</definedName>
    <definedName name="Z_60062E94_E9B0_4825_A812_182FE1DB6021_.wvu.Cols" localSheetId="8" hidden="1">'Q6_D_Est ECO'!#REF!</definedName>
    <definedName name="Z_60062E94_E9B0_4825_A812_182FE1DB6021_.wvu.Cols" localSheetId="10" hidden="1">Q8_D_Est_Org!$O:$AC</definedName>
    <definedName name="Z_60062E94_E9B0_4825_A812_182FE1DB6021_.wvu.PrintArea" localSheetId="12" hidden="1">'Q10_SFA '!$C$1:$R$12</definedName>
    <definedName name="Z_60062E94_E9B0_4825_A812_182FE1DB6021_.wvu.PrintArea" localSheetId="13" hidden="1">'Q11_SFA acumulado'!$C$1:$F$46</definedName>
    <definedName name="Z_60062E94_E9B0_4825_A812_182FE1DB6021_.wvu.PrintArea" localSheetId="14" hidden="1">'Q12_SFA Mes'!$C$1:$F$33</definedName>
    <definedName name="Z_60062E94_E9B0_4825_A812_182FE1DB6021_.wvu.PrintArea" localSheetId="4" hidden="1">Q2_Global_Est!$B$1:$H$37</definedName>
    <definedName name="Z_60062E94_E9B0_4825_A812_182FE1DB6021_.wvu.PrintArea" localSheetId="5" hidden="1">Q3_Global_M!$B$1:$H$32</definedName>
    <definedName name="Z_60062E94_E9B0_4825_A812_182FE1DB6021_.wvu.PrintArea" localSheetId="6" hidden="1">'Q4_ R_fiscal'!#REF!</definedName>
    <definedName name="Z_60062E94_E9B0_4825_A812_182FE1DB6021_.wvu.PrintArea" localSheetId="7" hidden="1">Q5_R_n_fiscal!#REF!</definedName>
    <definedName name="Z_60062E94_E9B0_4825_A812_182FE1DB6021_.wvu.PrintArea" localSheetId="8" hidden="1">'Q6_D_Est ECO'!$B$1:$H$40</definedName>
    <definedName name="Z_60062E94_E9B0_4825_A812_182FE1DB6021_.wvu.PrintArea" localSheetId="9" hidden="1">Q7_D_Est_Func!$B$1:$F$22</definedName>
    <definedName name="Z_60062E94_E9B0_4825_A812_182FE1DB6021_.wvu.PrintArea" localSheetId="10" hidden="1">Q8_D_Est_Org!$B$1:$AE$46</definedName>
    <definedName name="Z_60062E94_E9B0_4825_A812_182FE1DB6021_.wvu.PrintTitles" localSheetId="8" hidden="1">'Q6_D_Est ECO'!$C:$C</definedName>
    <definedName name="Z_60062E94_E9B0_4825_A812_182FE1DB6021_.wvu.PrintTitles" localSheetId="10" hidden="1">Q8_D_Est_Org!$C:$C</definedName>
    <definedName name="Z_995CCCB8_BF97_4653_A7C0_86012B807DB5_.wvu.Cols" localSheetId="12" hidden="1">'Q10_SFA '!$Q:$Q</definedName>
    <definedName name="Z_995CCCB8_BF97_4653_A7C0_86012B807DB5_.wvu.Cols" localSheetId="13" hidden="1">'Q11_SFA acumulado'!#REF!</definedName>
    <definedName name="Z_995CCCB8_BF97_4653_A7C0_86012B807DB5_.wvu.Cols" localSheetId="14" hidden="1">'Q12_SFA Mes'!#REF!</definedName>
    <definedName name="Z_995CCCB8_BF97_4653_A7C0_86012B807DB5_.wvu.Cols" localSheetId="6" hidden="1">'Q4_ R_fiscal'!$D:$D</definedName>
    <definedName name="Z_995CCCB8_BF97_4653_A7C0_86012B807DB5_.wvu.Cols" localSheetId="7" hidden="1">Q5_R_n_fiscal!$D:$D</definedName>
    <definedName name="Z_995CCCB8_BF97_4653_A7C0_86012B807DB5_.wvu.Cols" localSheetId="8" hidden="1">'Q6_D_Est ECO'!#REF!</definedName>
    <definedName name="Z_995CCCB8_BF97_4653_A7C0_86012B807DB5_.wvu.Cols" localSheetId="10" hidden="1">Q8_D_Est_Org!$O:$AC</definedName>
    <definedName name="Z_995CCCB8_BF97_4653_A7C0_86012B807DB5_.wvu.PrintArea" localSheetId="12" hidden="1">'Q10_SFA '!$C$1:$R$12</definedName>
    <definedName name="Z_995CCCB8_BF97_4653_A7C0_86012B807DB5_.wvu.PrintArea" localSheetId="13" hidden="1">'Q11_SFA acumulado'!$C$1:$F$46</definedName>
    <definedName name="Z_995CCCB8_BF97_4653_A7C0_86012B807DB5_.wvu.PrintArea" localSheetId="14" hidden="1">'Q12_SFA Mes'!$C$1:$F$33</definedName>
    <definedName name="Z_995CCCB8_BF97_4653_A7C0_86012B807DB5_.wvu.PrintArea" localSheetId="4" hidden="1">Q2_Global_Est!$B$1:$H$37</definedName>
    <definedName name="Z_995CCCB8_BF97_4653_A7C0_86012B807DB5_.wvu.PrintArea" localSheetId="5" hidden="1">Q3_Global_M!$B$1:$H$32</definedName>
    <definedName name="Z_995CCCB8_BF97_4653_A7C0_86012B807DB5_.wvu.PrintArea" localSheetId="6" hidden="1">'Q4_ R_fiscal'!#REF!</definedName>
    <definedName name="Z_995CCCB8_BF97_4653_A7C0_86012B807DB5_.wvu.PrintArea" localSheetId="7" hidden="1">Q5_R_n_fiscal!#REF!</definedName>
    <definedName name="Z_995CCCB8_BF97_4653_A7C0_86012B807DB5_.wvu.PrintArea" localSheetId="8" hidden="1">'Q6_D_Est ECO'!$B$1:$H$40</definedName>
    <definedName name="Z_995CCCB8_BF97_4653_A7C0_86012B807DB5_.wvu.PrintArea" localSheetId="9" hidden="1">Q7_D_Est_Func!$B$1:$F$22</definedName>
    <definedName name="Z_995CCCB8_BF97_4653_A7C0_86012B807DB5_.wvu.PrintArea" localSheetId="10" hidden="1">Q8_D_Est_Org!$B$1:$AE$46</definedName>
    <definedName name="Z_995CCCB8_BF97_4653_A7C0_86012B807DB5_.wvu.PrintTitles" localSheetId="8" hidden="1">'Q6_D_Est ECO'!$C:$C</definedName>
    <definedName name="Z_995CCCB8_BF97_4653_A7C0_86012B807DB5_.wvu.PrintTitles" localSheetId="10" hidden="1">Q8_D_Est_Org!$C:$C</definedName>
    <definedName name="Z_9C8E7FE3_A7A1_4D36_A156_3751861446D4_.wvu.Cols" localSheetId="12" hidden="1">'Q10_SFA '!$Q:$Q</definedName>
    <definedName name="Z_9C8E7FE3_A7A1_4D36_A156_3751861446D4_.wvu.Cols" localSheetId="13" hidden="1">'Q11_SFA acumulado'!#REF!</definedName>
    <definedName name="Z_9C8E7FE3_A7A1_4D36_A156_3751861446D4_.wvu.Cols" localSheetId="14" hidden="1">'Q12_SFA Mes'!#REF!</definedName>
    <definedName name="Z_9C8E7FE3_A7A1_4D36_A156_3751861446D4_.wvu.Cols" localSheetId="6" hidden="1">'Q4_ R_fiscal'!$D:$D</definedName>
    <definedName name="Z_9C8E7FE3_A7A1_4D36_A156_3751861446D4_.wvu.Cols" localSheetId="7" hidden="1">Q5_R_n_fiscal!$D:$D</definedName>
    <definedName name="Z_9C8E7FE3_A7A1_4D36_A156_3751861446D4_.wvu.Cols" localSheetId="8" hidden="1">'Q6_D_Est ECO'!#REF!</definedName>
    <definedName name="Z_9C8E7FE3_A7A1_4D36_A156_3751861446D4_.wvu.Cols" localSheetId="10" hidden="1">Q8_D_Est_Org!$O:$AC</definedName>
    <definedName name="Z_9C8E7FE3_A7A1_4D36_A156_3751861446D4_.wvu.PrintArea" localSheetId="12" hidden="1">'Q10_SFA '!$C$1:$R$12</definedName>
    <definedName name="Z_9C8E7FE3_A7A1_4D36_A156_3751861446D4_.wvu.PrintArea" localSheetId="13" hidden="1">'Q11_SFA acumulado'!$C$1:$F$46</definedName>
    <definedName name="Z_9C8E7FE3_A7A1_4D36_A156_3751861446D4_.wvu.PrintArea" localSheetId="14" hidden="1">'Q12_SFA Mes'!$C$1:$F$33</definedName>
    <definedName name="Z_9C8E7FE3_A7A1_4D36_A156_3751861446D4_.wvu.PrintArea" localSheetId="4" hidden="1">Q2_Global_Est!$B$1:$H$37</definedName>
    <definedName name="Z_9C8E7FE3_A7A1_4D36_A156_3751861446D4_.wvu.PrintArea" localSheetId="5" hidden="1">Q3_Global_M!$B$1:$H$32</definedName>
    <definedName name="Z_9C8E7FE3_A7A1_4D36_A156_3751861446D4_.wvu.PrintArea" localSheetId="6" hidden="1">'Q4_ R_fiscal'!#REF!</definedName>
    <definedName name="Z_9C8E7FE3_A7A1_4D36_A156_3751861446D4_.wvu.PrintArea" localSheetId="7" hidden="1">Q5_R_n_fiscal!#REF!</definedName>
    <definedName name="Z_9C8E7FE3_A7A1_4D36_A156_3751861446D4_.wvu.PrintArea" localSheetId="8" hidden="1">'Q6_D_Est ECO'!$B$1:$H$40</definedName>
    <definedName name="Z_9C8E7FE3_A7A1_4D36_A156_3751861446D4_.wvu.PrintArea" localSheetId="9" hidden="1">Q7_D_Est_Func!$B$1:$F$22</definedName>
    <definedName name="Z_9C8E7FE3_A7A1_4D36_A156_3751861446D4_.wvu.PrintArea" localSheetId="10" hidden="1">Q8_D_Est_Org!$B$1:$AE$46</definedName>
    <definedName name="Z_9C8E7FE3_A7A1_4D36_A156_3751861446D4_.wvu.PrintTitles" localSheetId="8" hidden="1">'Q6_D_Est ECO'!$C:$C</definedName>
    <definedName name="Z_9C8E7FE3_A7A1_4D36_A156_3751861446D4_.wvu.PrintTitles" localSheetId="10" hidden="1">Q8_D_Est_Org!$C:$C</definedName>
    <definedName name="Z_B22C7842_6BF9_4A1C_B06C_2AD9B9A784D4_.wvu.Cols" localSheetId="12" hidden="1">'Q10_SFA '!$Q:$Q</definedName>
    <definedName name="Z_B22C7842_6BF9_4A1C_B06C_2AD9B9A784D4_.wvu.Cols" localSheetId="13" hidden="1">'Q11_SFA acumulado'!#REF!</definedName>
    <definedName name="Z_B22C7842_6BF9_4A1C_B06C_2AD9B9A784D4_.wvu.Cols" localSheetId="14" hidden="1">'Q12_SFA Mes'!#REF!</definedName>
    <definedName name="Z_B22C7842_6BF9_4A1C_B06C_2AD9B9A784D4_.wvu.Cols" localSheetId="6" hidden="1">'Q4_ R_fiscal'!$D:$D</definedName>
    <definedName name="Z_B22C7842_6BF9_4A1C_B06C_2AD9B9A784D4_.wvu.Cols" localSheetId="7" hidden="1">Q5_R_n_fiscal!$D:$D</definedName>
    <definedName name="Z_B22C7842_6BF9_4A1C_B06C_2AD9B9A784D4_.wvu.Cols" localSheetId="8" hidden="1">'Q6_D_Est ECO'!#REF!</definedName>
    <definedName name="Z_B22C7842_6BF9_4A1C_B06C_2AD9B9A784D4_.wvu.Cols" localSheetId="10" hidden="1">Q8_D_Est_Org!$O:$AC</definedName>
    <definedName name="Z_B22C7842_6BF9_4A1C_B06C_2AD9B9A784D4_.wvu.PrintArea" localSheetId="12" hidden="1">'Q10_SFA '!$C$1:$R$12</definedName>
    <definedName name="Z_B22C7842_6BF9_4A1C_B06C_2AD9B9A784D4_.wvu.PrintArea" localSheetId="13" hidden="1">'Q11_SFA acumulado'!$C$1:$F$46</definedName>
    <definedName name="Z_B22C7842_6BF9_4A1C_B06C_2AD9B9A784D4_.wvu.PrintArea" localSheetId="14" hidden="1">'Q12_SFA Mes'!$C$1:$F$33</definedName>
    <definedName name="Z_B22C7842_6BF9_4A1C_B06C_2AD9B9A784D4_.wvu.PrintArea" localSheetId="4" hidden="1">Q2_Global_Est!$B$1:$H$37</definedName>
    <definedName name="Z_B22C7842_6BF9_4A1C_B06C_2AD9B9A784D4_.wvu.PrintArea" localSheetId="5" hidden="1">Q3_Global_M!$B$1:$H$32</definedName>
    <definedName name="Z_B22C7842_6BF9_4A1C_B06C_2AD9B9A784D4_.wvu.PrintArea" localSheetId="6" hidden="1">'Q4_ R_fiscal'!#REF!</definedName>
    <definedName name="Z_B22C7842_6BF9_4A1C_B06C_2AD9B9A784D4_.wvu.PrintArea" localSheetId="7" hidden="1">Q5_R_n_fiscal!#REF!</definedName>
    <definedName name="Z_B22C7842_6BF9_4A1C_B06C_2AD9B9A784D4_.wvu.PrintArea" localSheetId="8" hidden="1">'Q6_D_Est ECO'!$B$1:$H$40</definedName>
    <definedName name="Z_B22C7842_6BF9_4A1C_B06C_2AD9B9A784D4_.wvu.PrintArea" localSheetId="9" hidden="1">Q7_D_Est_Func!$B$1:$F$22</definedName>
    <definedName name="Z_B22C7842_6BF9_4A1C_B06C_2AD9B9A784D4_.wvu.PrintArea" localSheetId="10" hidden="1">Q8_D_Est_Org!$B$1:$AE$46</definedName>
    <definedName name="Z_B22C7842_6BF9_4A1C_B06C_2AD9B9A784D4_.wvu.PrintTitles" localSheetId="8" hidden="1">'Q6_D_Est ECO'!$C:$C</definedName>
    <definedName name="Z_B22C7842_6BF9_4A1C_B06C_2AD9B9A784D4_.wvu.PrintTitles" localSheetId="10" hidden="1">Q8_D_Est_Org!$C:$C</definedName>
    <definedName name="Z_C2013F6E_CF9D_4172_87F3_B954A090B414_.wvu.PrintArea" localSheetId="4" hidden="1">Q2_Global_Est!$C$1:$F$37</definedName>
    <definedName name="Z_C2013F6E_CF9D_4172_87F3_B954A090B414_.wvu.PrintArea" localSheetId="5" hidden="1">Q3_Global_M!$C$1:$F$32</definedName>
    <definedName name="Z_C2013F6E_CF9D_4172_87F3_B954A090B414_.wvu.PrintArea" localSheetId="8" hidden="1">'Q6_D_Est ECO'!$C$1:$H$39</definedName>
    <definedName name="Z_C2013F6E_CF9D_4172_87F3_B954A090B414_.wvu.PrintArea" localSheetId="9" hidden="1">Q7_D_Est_Func!$C$1:$F$22</definedName>
    <definedName name="Z_C2013F6E_CF9D_4172_87F3_B954A090B414_.wvu.PrintArea" localSheetId="10" hidden="1">Q8_D_Est_Org!$D$1:$N$46</definedName>
    <definedName name="Z_DB1D3FDB_E0D5_4FD7_BD6E_EC28675EBF68_.wvu.Cols" localSheetId="12" hidden="1">'Q10_SFA '!$Q:$Q</definedName>
    <definedName name="Z_DB1D3FDB_E0D5_4FD7_BD6E_EC28675EBF68_.wvu.Cols" localSheetId="13" hidden="1">'Q11_SFA acumulado'!#REF!</definedName>
    <definedName name="Z_DB1D3FDB_E0D5_4FD7_BD6E_EC28675EBF68_.wvu.Cols" localSheetId="14" hidden="1">'Q12_SFA Mes'!#REF!</definedName>
    <definedName name="Z_DB1D3FDB_E0D5_4FD7_BD6E_EC28675EBF68_.wvu.Cols" localSheetId="6" hidden="1">'Q4_ R_fiscal'!$D:$D</definedName>
    <definedName name="Z_DB1D3FDB_E0D5_4FD7_BD6E_EC28675EBF68_.wvu.Cols" localSheetId="7" hidden="1">Q5_R_n_fiscal!$D:$D</definedName>
    <definedName name="Z_DB1D3FDB_E0D5_4FD7_BD6E_EC28675EBF68_.wvu.Cols" localSheetId="8" hidden="1">'Q6_D_Est ECO'!#REF!</definedName>
    <definedName name="Z_DB1D3FDB_E0D5_4FD7_BD6E_EC28675EBF68_.wvu.Cols" localSheetId="10" hidden="1">Q8_D_Est_Org!$O:$AC</definedName>
    <definedName name="Z_DB1D3FDB_E0D5_4FD7_BD6E_EC28675EBF68_.wvu.PrintArea" localSheetId="12" hidden="1">'Q10_SFA '!$C$1:$R$12</definedName>
    <definedName name="Z_DB1D3FDB_E0D5_4FD7_BD6E_EC28675EBF68_.wvu.PrintArea" localSheetId="13" hidden="1">'Q11_SFA acumulado'!$C$1:$F$46</definedName>
    <definedName name="Z_DB1D3FDB_E0D5_4FD7_BD6E_EC28675EBF68_.wvu.PrintArea" localSheetId="14" hidden="1">'Q12_SFA Mes'!$C$1:$F$33</definedName>
    <definedName name="Z_DB1D3FDB_E0D5_4FD7_BD6E_EC28675EBF68_.wvu.PrintArea" localSheetId="4" hidden="1">Q2_Global_Est!$B$1:$H$37</definedName>
    <definedName name="Z_DB1D3FDB_E0D5_4FD7_BD6E_EC28675EBF68_.wvu.PrintArea" localSheetId="5" hidden="1">Q3_Global_M!$B$1:$H$32</definedName>
    <definedName name="Z_DB1D3FDB_E0D5_4FD7_BD6E_EC28675EBF68_.wvu.PrintArea" localSheetId="6" hidden="1">'Q4_ R_fiscal'!#REF!</definedName>
    <definedName name="Z_DB1D3FDB_E0D5_4FD7_BD6E_EC28675EBF68_.wvu.PrintArea" localSheetId="7" hidden="1">Q5_R_n_fiscal!#REF!</definedName>
    <definedName name="Z_DB1D3FDB_E0D5_4FD7_BD6E_EC28675EBF68_.wvu.PrintArea" localSheetId="8" hidden="1">'Q6_D_Est ECO'!$B$1:$H$40</definedName>
    <definedName name="Z_DB1D3FDB_E0D5_4FD7_BD6E_EC28675EBF68_.wvu.PrintArea" localSheetId="9" hidden="1">Q7_D_Est_Func!$B$1:$F$22</definedName>
    <definedName name="Z_DB1D3FDB_E0D5_4FD7_BD6E_EC28675EBF68_.wvu.PrintArea" localSheetId="10" hidden="1">Q8_D_Est_Org!$B$1:$AE$46</definedName>
    <definedName name="Z_DB1D3FDB_E0D5_4FD7_BD6E_EC28675EBF68_.wvu.PrintTitles" localSheetId="8" hidden="1">'Q6_D_Est ECO'!$C:$C</definedName>
    <definedName name="Z_DB1D3FDB_E0D5_4FD7_BD6E_EC28675EBF68_.wvu.PrintTitles" localSheetId="10" hidden="1">Q8_D_Est_Org!$C:$C</definedName>
    <definedName name="Z_EBA68B69_6D6E_44F8_8C51_9491A55275C5_.wvu.Cols" localSheetId="12" hidden="1">'Q10_SFA '!$Q:$Q</definedName>
    <definedName name="Z_EBA68B69_6D6E_44F8_8C51_9491A55275C5_.wvu.Cols" localSheetId="13" hidden="1">'Q11_SFA acumulado'!#REF!</definedName>
    <definedName name="Z_EBA68B69_6D6E_44F8_8C51_9491A55275C5_.wvu.Cols" localSheetId="14" hidden="1">'Q12_SFA Mes'!#REF!</definedName>
    <definedName name="Z_EBA68B69_6D6E_44F8_8C51_9491A55275C5_.wvu.Cols" localSheetId="6" hidden="1">'Q4_ R_fiscal'!$D:$D</definedName>
    <definedName name="Z_EBA68B69_6D6E_44F8_8C51_9491A55275C5_.wvu.Cols" localSheetId="7" hidden="1">Q5_R_n_fiscal!$D:$D</definedName>
    <definedName name="Z_EBA68B69_6D6E_44F8_8C51_9491A55275C5_.wvu.Cols" localSheetId="8" hidden="1">'Q6_D_Est ECO'!#REF!</definedName>
    <definedName name="Z_EBA68B69_6D6E_44F8_8C51_9491A55275C5_.wvu.Cols" localSheetId="10" hidden="1">Q8_D_Est_Org!$O:$AC</definedName>
    <definedName name="Z_EBA68B69_6D6E_44F8_8C51_9491A55275C5_.wvu.PrintArea" localSheetId="12" hidden="1">'Q10_SFA '!$C$1:$R$12</definedName>
    <definedName name="Z_EBA68B69_6D6E_44F8_8C51_9491A55275C5_.wvu.PrintArea" localSheetId="13" hidden="1">'Q11_SFA acumulado'!$C$1:$F$46</definedName>
    <definedName name="Z_EBA68B69_6D6E_44F8_8C51_9491A55275C5_.wvu.PrintArea" localSheetId="14" hidden="1">'Q12_SFA Mes'!$C$1:$F$33</definedName>
    <definedName name="Z_EBA68B69_6D6E_44F8_8C51_9491A55275C5_.wvu.PrintArea" localSheetId="4" hidden="1">Q2_Global_Est!$B$1:$H$37</definedName>
    <definedName name="Z_EBA68B69_6D6E_44F8_8C51_9491A55275C5_.wvu.PrintArea" localSheetId="5" hidden="1">Q3_Global_M!$B$1:$H$32</definedName>
    <definedName name="Z_EBA68B69_6D6E_44F8_8C51_9491A55275C5_.wvu.PrintArea" localSheetId="6" hidden="1">'Q4_ R_fiscal'!#REF!</definedName>
    <definedName name="Z_EBA68B69_6D6E_44F8_8C51_9491A55275C5_.wvu.PrintArea" localSheetId="7" hidden="1">Q5_R_n_fiscal!#REF!</definedName>
    <definedName name="Z_EBA68B69_6D6E_44F8_8C51_9491A55275C5_.wvu.PrintArea" localSheetId="8" hidden="1">'Q6_D_Est ECO'!$B$1:$H$40</definedName>
    <definedName name="Z_EBA68B69_6D6E_44F8_8C51_9491A55275C5_.wvu.PrintArea" localSheetId="9" hidden="1">Q7_D_Est_Func!$B$1:$F$22</definedName>
    <definedName name="Z_EBA68B69_6D6E_44F8_8C51_9491A55275C5_.wvu.PrintArea" localSheetId="10" hidden="1">Q8_D_Est_Org!$B$1:$AE$46</definedName>
    <definedName name="Z_EBA68B69_6D6E_44F8_8C51_9491A55275C5_.wvu.PrintTitles" localSheetId="8" hidden="1">'Q6_D_Est ECO'!$C:$C</definedName>
    <definedName name="Z_EBA68B69_6D6E_44F8_8C51_9491A55275C5_.wvu.PrintTitles" localSheetId="10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" i="53" l="1"/>
  <c r="C2" i="9"/>
  <c r="C2" i="50"/>
  <c r="C2" i="10"/>
  <c r="C2" i="11"/>
  <c r="C2" i="12"/>
  <c r="C2" i="39"/>
  <c r="C2" i="13"/>
  <c r="C2" i="51"/>
  <c r="D3" i="61"/>
  <c r="C2" i="61"/>
  <c r="D42" i="38"/>
  <c r="C41" i="38"/>
  <c r="D33" i="38"/>
  <c r="C32" i="38"/>
  <c r="D24" i="38"/>
  <c r="C23" i="38"/>
  <c r="D3" i="38"/>
  <c r="C2" i="38"/>
  <c r="C2" i="32"/>
  <c r="C2" i="8"/>
  <c r="C2" i="60"/>
  <c r="I47" i="38"/>
  <c r="H47" i="38"/>
  <c r="G47" i="38"/>
  <c r="F47" i="38"/>
  <c r="E47" i="38"/>
  <c r="D47" i="38"/>
  <c r="I46" i="38"/>
  <c r="H46" i="38"/>
  <c r="G46" i="38"/>
  <c r="F46" i="38"/>
  <c r="E46" i="38"/>
  <c r="D46" i="38"/>
  <c r="I45" i="38"/>
  <c r="H45" i="38"/>
  <c r="G45" i="38"/>
  <c r="F45" i="38"/>
  <c r="E45" i="38"/>
  <c r="D45" i="38"/>
  <c r="I38" i="38"/>
  <c r="H38" i="38"/>
  <c r="G38" i="38"/>
  <c r="F38" i="38"/>
  <c r="E38" i="38"/>
  <c r="D38" i="38"/>
  <c r="I37" i="38"/>
  <c r="H37" i="38"/>
  <c r="G37" i="38"/>
  <c r="F37" i="38"/>
  <c r="E37" i="38"/>
  <c r="D37" i="38"/>
  <c r="I36" i="38"/>
  <c r="H36" i="38"/>
  <c r="G36" i="38"/>
  <c r="F36" i="38"/>
  <c r="E36" i="38"/>
  <c r="D36" i="38"/>
  <c r="I29" i="38"/>
  <c r="H29" i="38"/>
  <c r="G29" i="38"/>
  <c r="F29" i="38"/>
  <c r="E29" i="38"/>
  <c r="D29" i="38"/>
  <c r="I28" i="38"/>
  <c r="H28" i="38"/>
  <c r="G28" i="38"/>
  <c r="F28" i="38"/>
  <c r="E28" i="38"/>
  <c r="D28" i="38"/>
  <c r="I27" i="38"/>
  <c r="H27" i="38"/>
  <c r="G27" i="38"/>
  <c r="F27" i="38"/>
  <c r="E27" i="38"/>
  <c r="D27" i="38"/>
  <c r="I19" i="38"/>
  <c r="H19" i="38"/>
  <c r="G19" i="38"/>
  <c r="F19" i="38"/>
  <c r="E19" i="38"/>
  <c r="D19" i="38"/>
  <c r="I17" i="38"/>
  <c r="H17" i="38"/>
  <c r="G17" i="38"/>
  <c r="F17" i="38"/>
  <c r="E17" i="38"/>
  <c r="D17" i="38"/>
  <c r="I16" i="38"/>
  <c r="H16" i="38"/>
  <c r="G16" i="38"/>
  <c r="F16" i="38"/>
  <c r="E16" i="38"/>
  <c r="D16" i="38"/>
  <c r="I15" i="38"/>
  <c r="H15" i="38"/>
  <c r="G15" i="38"/>
  <c r="F15" i="38"/>
  <c r="E15" i="38"/>
  <c r="D15" i="38"/>
  <c r="I14" i="38"/>
  <c r="H14" i="38"/>
  <c r="G14" i="38"/>
  <c r="F14" i="38"/>
  <c r="E14" i="38"/>
  <c r="D14" i="38"/>
  <c r="I13" i="38"/>
  <c r="H13" i="38"/>
  <c r="G13" i="38"/>
  <c r="F13" i="38"/>
  <c r="E13" i="38"/>
  <c r="D13" i="38"/>
  <c r="I12" i="38"/>
  <c r="H12" i="38"/>
  <c r="G12" i="38"/>
  <c r="F12" i="38"/>
  <c r="E12" i="38"/>
  <c r="D12" i="38"/>
  <c r="I11" i="38"/>
  <c r="H11" i="38"/>
  <c r="G11" i="38"/>
  <c r="F11" i="38"/>
  <c r="E11" i="38"/>
  <c r="D11" i="38"/>
  <c r="I10" i="38"/>
  <c r="H10" i="38"/>
  <c r="G10" i="38"/>
  <c r="F10" i="38"/>
  <c r="E10" i="38"/>
  <c r="D10" i="38"/>
  <c r="I9" i="38"/>
  <c r="H9" i="38"/>
  <c r="G9" i="38"/>
  <c r="F9" i="38"/>
  <c r="E9" i="38"/>
  <c r="D9" i="38"/>
  <c r="I8" i="38"/>
  <c r="H8" i="38"/>
  <c r="G8" i="38"/>
  <c r="F8" i="38"/>
  <c r="E8" i="38"/>
  <c r="D8" i="38"/>
  <c r="I7" i="38"/>
  <c r="H7" i="38"/>
  <c r="G7" i="38"/>
  <c r="F7" i="38"/>
  <c r="E7" i="38"/>
  <c r="D7" i="38"/>
  <c r="I6" i="38"/>
  <c r="H6" i="38"/>
  <c r="G6" i="38"/>
  <c r="F6" i="38"/>
  <c r="E6" i="38"/>
  <c r="D6" i="38"/>
  <c r="F31" i="61"/>
  <c r="E31" i="61"/>
  <c r="D31" i="61"/>
  <c r="F29" i="61"/>
  <c r="E29" i="61"/>
  <c r="D29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5" i="61"/>
  <c r="E15" i="61"/>
  <c r="D15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E7" i="61"/>
  <c r="D7" i="61"/>
  <c r="F6" i="61"/>
  <c r="E6" i="61"/>
  <c r="D6" i="61"/>
  <c r="F5" i="61"/>
  <c r="E5" i="61"/>
  <c r="D5" i="61"/>
  <c r="F44" i="51"/>
  <c r="E44" i="51"/>
  <c r="D44" i="51"/>
  <c r="F40" i="51"/>
  <c r="E40" i="51"/>
  <c r="D40" i="51"/>
  <c r="F39" i="51"/>
  <c r="E39" i="51"/>
  <c r="D39" i="51"/>
  <c r="F38" i="51"/>
  <c r="E38" i="51"/>
  <c r="D38" i="51"/>
  <c r="F36" i="51"/>
  <c r="E36" i="51"/>
  <c r="D36" i="51"/>
  <c r="F34" i="51"/>
  <c r="E34" i="51"/>
  <c r="D34" i="51"/>
  <c r="F33" i="51"/>
  <c r="E33" i="51"/>
  <c r="D33" i="51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6" i="51"/>
  <c r="E26" i="51"/>
  <c r="D26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D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E7" i="51"/>
  <c r="D7" i="51"/>
  <c r="F6" i="51"/>
  <c r="E6" i="51"/>
  <c r="D6" i="51"/>
  <c r="F5" i="51"/>
  <c r="E5" i="51"/>
  <c r="D5" i="51"/>
  <c r="F4" i="51"/>
  <c r="E4" i="51"/>
  <c r="D4" i="51"/>
  <c r="F10" i="13"/>
  <c r="E10" i="13"/>
  <c r="D10" i="13"/>
  <c r="F9" i="13"/>
  <c r="E9" i="13"/>
  <c r="D9" i="13"/>
  <c r="F8" i="13"/>
  <c r="E8" i="13"/>
  <c r="D8" i="13"/>
  <c r="F7" i="13"/>
  <c r="E7" i="13"/>
  <c r="D7" i="13"/>
  <c r="F4" i="13"/>
  <c r="E4" i="13"/>
  <c r="D4" i="13"/>
  <c r="E5" i="39"/>
  <c r="D5" i="39"/>
  <c r="N44" i="12"/>
  <c r="M44" i="12"/>
  <c r="L44" i="12"/>
  <c r="K44" i="12"/>
  <c r="J44" i="12"/>
  <c r="I44" i="12"/>
  <c r="H44" i="12"/>
  <c r="G44" i="12"/>
  <c r="F44" i="12"/>
  <c r="E44" i="12"/>
  <c r="D44" i="12"/>
  <c r="N41" i="12"/>
  <c r="M41" i="12"/>
  <c r="L41" i="12"/>
  <c r="K41" i="12"/>
  <c r="J41" i="12"/>
  <c r="I41" i="12"/>
  <c r="H41" i="12"/>
  <c r="G41" i="12"/>
  <c r="F41" i="12"/>
  <c r="E41" i="12"/>
  <c r="D41" i="12"/>
  <c r="N40" i="12"/>
  <c r="M40" i="12"/>
  <c r="L40" i="12"/>
  <c r="K40" i="12"/>
  <c r="J40" i="12"/>
  <c r="I40" i="12"/>
  <c r="H40" i="12"/>
  <c r="G40" i="12"/>
  <c r="F40" i="12"/>
  <c r="E40" i="12"/>
  <c r="D40" i="12"/>
  <c r="N38" i="12"/>
  <c r="M38" i="12"/>
  <c r="L38" i="12"/>
  <c r="K38" i="12"/>
  <c r="J38" i="12"/>
  <c r="I38" i="12"/>
  <c r="H38" i="12"/>
  <c r="G38" i="12"/>
  <c r="F38" i="12"/>
  <c r="E38" i="12"/>
  <c r="D38" i="12"/>
  <c r="N36" i="12"/>
  <c r="M36" i="12"/>
  <c r="L36" i="12"/>
  <c r="K36" i="12"/>
  <c r="J36" i="12"/>
  <c r="I36" i="12"/>
  <c r="H36" i="12"/>
  <c r="G36" i="12"/>
  <c r="F36" i="12"/>
  <c r="E36" i="12"/>
  <c r="D36" i="12"/>
  <c r="N35" i="12"/>
  <c r="M35" i="12"/>
  <c r="L35" i="12"/>
  <c r="K35" i="12"/>
  <c r="J35" i="12"/>
  <c r="I35" i="12"/>
  <c r="H35" i="12"/>
  <c r="G35" i="12"/>
  <c r="F35" i="12"/>
  <c r="E35" i="12"/>
  <c r="D35" i="12"/>
  <c r="N34" i="12"/>
  <c r="M34" i="12"/>
  <c r="L34" i="12"/>
  <c r="K34" i="12"/>
  <c r="J34" i="12"/>
  <c r="I34" i="12"/>
  <c r="H34" i="12"/>
  <c r="G34" i="12"/>
  <c r="F34" i="12"/>
  <c r="E34" i="12"/>
  <c r="D34" i="12"/>
  <c r="N33" i="12"/>
  <c r="M33" i="12"/>
  <c r="L33" i="12"/>
  <c r="K33" i="12"/>
  <c r="J33" i="12"/>
  <c r="I33" i="12"/>
  <c r="H33" i="12"/>
  <c r="G33" i="12"/>
  <c r="F33" i="12"/>
  <c r="E33" i="12"/>
  <c r="D33" i="12"/>
  <c r="N32" i="12"/>
  <c r="M32" i="12"/>
  <c r="L32" i="12"/>
  <c r="K32" i="12"/>
  <c r="J32" i="12"/>
  <c r="I32" i="12"/>
  <c r="H32" i="12"/>
  <c r="G32" i="12"/>
  <c r="F32" i="12"/>
  <c r="E32" i="12"/>
  <c r="D32" i="12"/>
  <c r="N31" i="12"/>
  <c r="M31" i="12"/>
  <c r="L31" i="12"/>
  <c r="K31" i="12"/>
  <c r="J31" i="12"/>
  <c r="I31" i="12"/>
  <c r="H31" i="12"/>
  <c r="G31" i="12"/>
  <c r="F31" i="12"/>
  <c r="E31" i="12"/>
  <c r="D31" i="12"/>
  <c r="N30" i="12"/>
  <c r="M30" i="12"/>
  <c r="L30" i="12"/>
  <c r="K30" i="12"/>
  <c r="J30" i="12"/>
  <c r="I30" i="12"/>
  <c r="H30" i="12"/>
  <c r="G30" i="12"/>
  <c r="F30" i="12"/>
  <c r="E30" i="12"/>
  <c r="D30" i="12"/>
  <c r="N29" i="12"/>
  <c r="M29" i="12"/>
  <c r="L29" i="12"/>
  <c r="K29" i="12"/>
  <c r="J29" i="12"/>
  <c r="I29" i="12"/>
  <c r="H29" i="12"/>
  <c r="G29" i="12"/>
  <c r="F29" i="12"/>
  <c r="E29" i="12"/>
  <c r="D29" i="12"/>
  <c r="N28" i="12"/>
  <c r="M28" i="12"/>
  <c r="L28" i="12"/>
  <c r="K28" i="12"/>
  <c r="J28" i="12"/>
  <c r="I28" i="12"/>
  <c r="H28" i="12"/>
  <c r="G28" i="12"/>
  <c r="F28" i="12"/>
  <c r="E28" i="12"/>
  <c r="D28" i="12"/>
  <c r="N27" i="12"/>
  <c r="M27" i="12"/>
  <c r="L27" i="12"/>
  <c r="K27" i="12"/>
  <c r="J27" i="12"/>
  <c r="I27" i="12"/>
  <c r="H27" i="12"/>
  <c r="G27" i="12"/>
  <c r="F27" i="12"/>
  <c r="E27" i="12"/>
  <c r="D27" i="12"/>
  <c r="N26" i="12"/>
  <c r="M26" i="12"/>
  <c r="L26" i="12"/>
  <c r="K26" i="12"/>
  <c r="J26" i="12"/>
  <c r="I26" i="12"/>
  <c r="H26" i="12"/>
  <c r="G26" i="12"/>
  <c r="F26" i="12"/>
  <c r="E26" i="12"/>
  <c r="D26" i="12"/>
  <c r="N25" i="12"/>
  <c r="M25" i="12"/>
  <c r="L25" i="12"/>
  <c r="K25" i="12"/>
  <c r="J25" i="12"/>
  <c r="I25" i="12"/>
  <c r="H25" i="12"/>
  <c r="G25" i="12"/>
  <c r="F25" i="12"/>
  <c r="E25" i="12"/>
  <c r="D25" i="12"/>
  <c r="N24" i="12"/>
  <c r="M24" i="12"/>
  <c r="L24" i="12"/>
  <c r="K24" i="12"/>
  <c r="J24" i="12"/>
  <c r="I24" i="12"/>
  <c r="H24" i="12"/>
  <c r="G24" i="12"/>
  <c r="F24" i="12"/>
  <c r="E24" i="12"/>
  <c r="D24" i="12"/>
  <c r="N23" i="12"/>
  <c r="M23" i="12"/>
  <c r="L23" i="12"/>
  <c r="K23" i="12"/>
  <c r="J23" i="12"/>
  <c r="I23" i="12"/>
  <c r="H23" i="12"/>
  <c r="G23" i="12"/>
  <c r="F23" i="12"/>
  <c r="E23" i="12"/>
  <c r="D23" i="12"/>
  <c r="N22" i="12"/>
  <c r="M22" i="12"/>
  <c r="L22" i="12"/>
  <c r="K22" i="12"/>
  <c r="J22" i="12"/>
  <c r="I22" i="12"/>
  <c r="H22" i="12"/>
  <c r="G22" i="12"/>
  <c r="F22" i="12"/>
  <c r="E22" i="12"/>
  <c r="D22" i="12"/>
  <c r="N21" i="12"/>
  <c r="M21" i="12"/>
  <c r="L21" i="12"/>
  <c r="K21" i="12"/>
  <c r="J21" i="12"/>
  <c r="I21" i="12"/>
  <c r="H21" i="12"/>
  <c r="G21" i="12"/>
  <c r="F21" i="12"/>
  <c r="E21" i="12"/>
  <c r="D21" i="12"/>
  <c r="N20" i="12"/>
  <c r="M20" i="12"/>
  <c r="L20" i="12"/>
  <c r="K20" i="12"/>
  <c r="J20" i="12"/>
  <c r="I20" i="12"/>
  <c r="H20" i="12"/>
  <c r="G20" i="12"/>
  <c r="F20" i="12"/>
  <c r="E20" i="12"/>
  <c r="D20" i="12"/>
  <c r="N19" i="12"/>
  <c r="M19" i="12"/>
  <c r="L19" i="12"/>
  <c r="K19" i="12"/>
  <c r="J19" i="12"/>
  <c r="I19" i="12"/>
  <c r="H19" i="12"/>
  <c r="G19" i="12"/>
  <c r="F19" i="12"/>
  <c r="E19" i="12"/>
  <c r="D19" i="12"/>
  <c r="N18" i="12"/>
  <c r="M18" i="12"/>
  <c r="L18" i="12"/>
  <c r="K18" i="12"/>
  <c r="J18" i="12"/>
  <c r="I18" i="12"/>
  <c r="H18" i="12"/>
  <c r="G18" i="12"/>
  <c r="F18" i="12"/>
  <c r="E18" i="12"/>
  <c r="D18" i="12"/>
  <c r="N17" i="12"/>
  <c r="M17" i="12"/>
  <c r="L17" i="12"/>
  <c r="K17" i="12"/>
  <c r="J17" i="12"/>
  <c r="I17" i="12"/>
  <c r="H17" i="12"/>
  <c r="G17" i="12"/>
  <c r="F17" i="12"/>
  <c r="E17" i="12"/>
  <c r="D17" i="12"/>
  <c r="N16" i="12"/>
  <c r="M16" i="12"/>
  <c r="L16" i="12"/>
  <c r="K16" i="12"/>
  <c r="J16" i="12"/>
  <c r="I16" i="12"/>
  <c r="H16" i="12"/>
  <c r="G16" i="12"/>
  <c r="F16" i="12"/>
  <c r="E16" i="12"/>
  <c r="D16" i="12"/>
  <c r="N15" i="12"/>
  <c r="M15" i="12"/>
  <c r="L15" i="12"/>
  <c r="K15" i="12"/>
  <c r="J15" i="12"/>
  <c r="I15" i="12"/>
  <c r="H15" i="12"/>
  <c r="G15" i="12"/>
  <c r="F15" i="12"/>
  <c r="E15" i="12"/>
  <c r="D15" i="12"/>
  <c r="N14" i="12"/>
  <c r="M14" i="12"/>
  <c r="L14" i="12"/>
  <c r="K14" i="12"/>
  <c r="J14" i="12"/>
  <c r="I14" i="12"/>
  <c r="H14" i="12"/>
  <c r="G14" i="12"/>
  <c r="F14" i="12"/>
  <c r="E14" i="12"/>
  <c r="D14" i="12"/>
  <c r="N13" i="12"/>
  <c r="M13" i="12"/>
  <c r="L13" i="12"/>
  <c r="K13" i="12"/>
  <c r="J13" i="12"/>
  <c r="I13" i="12"/>
  <c r="H13" i="12"/>
  <c r="G13" i="12"/>
  <c r="F13" i="12"/>
  <c r="E13" i="12"/>
  <c r="D13" i="12"/>
  <c r="N12" i="12"/>
  <c r="M12" i="12"/>
  <c r="L12" i="12"/>
  <c r="K12" i="12"/>
  <c r="J12" i="12"/>
  <c r="I12" i="12"/>
  <c r="H12" i="12"/>
  <c r="G12" i="12"/>
  <c r="F12" i="12"/>
  <c r="E12" i="12"/>
  <c r="D12" i="12"/>
  <c r="N11" i="12"/>
  <c r="M11" i="12"/>
  <c r="L11" i="12"/>
  <c r="K11" i="12"/>
  <c r="J11" i="12"/>
  <c r="I11" i="12"/>
  <c r="H11" i="12"/>
  <c r="G11" i="12"/>
  <c r="F11" i="12"/>
  <c r="E11" i="12"/>
  <c r="D11" i="12"/>
  <c r="N10" i="12"/>
  <c r="M10" i="12"/>
  <c r="L10" i="12"/>
  <c r="K10" i="12"/>
  <c r="J10" i="12"/>
  <c r="I10" i="12"/>
  <c r="H10" i="12"/>
  <c r="G10" i="12"/>
  <c r="F10" i="12"/>
  <c r="E10" i="12"/>
  <c r="D10" i="12"/>
  <c r="N9" i="12"/>
  <c r="M9" i="12"/>
  <c r="L9" i="12"/>
  <c r="K9" i="12"/>
  <c r="J9" i="12"/>
  <c r="I9" i="12"/>
  <c r="H9" i="12"/>
  <c r="G9" i="12"/>
  <c r="F9" i="12"/>
  <c r="E9" i="12"/>
  <c r="D9" i="12"/>
  <c r="N8" i="12"/>
  <c r="M8" i="12"/>
  <c r="L8" i="12"/>
  <c r="K8" i="12"/>
  <c r="J8" i="12"/>
  <c r="I8" i="12"/>
  <c r="H8" i="12"/>
  <c r="G8" i="12"/>
  <c r="F8" i="12"/>
  <c r="E8" i="12"/>
  <c r="D8" i="12"/>
  <c r="N7" i="12"/>
  <c r="M7" i="12"/>
  <c r="L7" i="12"/>
  <c r="K7" i="12"/>
  <c r="J7" i="12"/>
  <c r="I7" i="12"/>
  <c r="H7" i="12"/>
  <c r="G7" i="12"/>
  <c r="F7" i="12"/>
  <c r="E7" i="12"/>
  <c r="D7" i="12"/>
  <c r="N6" i="12"/>
  <c r="M6" i="12"/>
  <c r="L6" i="12"/>
  <c r="K6" i="12"/>
  <c r="J6" i="12"/>
  <c r="I6" i="12"/>
  <c r="H6" i="12"/>
  <c r="G6" i="12"/>
  <c r="F6" i="12"/>
  <c r="E6" i="12"/>
  <c r="D6" i="12"/>
  <c r="N5" i="12"/>
  <c r="M5" i="12"/>
  <c r="L5" i="12"/>
  <c r="K5" i="12"/>
  <c r="J5" i="12"/>
  <c r="I5" i="12"/>
  <c r="H5" i="12"/>
  <c r="G5" i="12"/>
  <c r="F5" i="12"/>
  <c r="E5" i="12"/>
  <c r="D5" i="12"/>
  <c r="N4" i="12"/>
  <c r="M4" i="12"/>
  <c r="L4" i="12"/>
  <c r="K4" i="12"/>
  <c r="J4" i="12"/>
  <c r="I4" i="12"/>
  <c r="H4" i="12"/>
  <c r="G4" i="12"/>
  <c r="F4" i="12"/>
  <c r="E4" i="12"/>
  <c r="D4" i="12"/>
  <c r="F21" i="11"/>
  <c r="E21" i="11"/>
  <c r="D21" i="11"/>
  <c r="F20" i="11"/>
  <c r="E20" i="11"/>
  <c r="D20" i="11"/>
  <c r="F17" i="11"/>
  <c r="E17" i="11"/>
  <c r="D17" i="11"/>
  <c r="F14" i="11"/>
  <c r="E14" i="11"/>
  <c r="D14" i="11"/>
  <c r="F13" i="11"/>
  <c r="E13" i="11"/>
  <c r="D13" i="11"/>
  <c r="F12" i="11"/>
  <c r="E12" i="11"/>
  <c r="D12" i="11"/>
  <c r="F11" i="11"/>
  <c r="E11" i="11"/>
  <c r="D11" i="11"/>
  <c r="F10" i="11"/>
  <c r="E10" i="11"/>
  <c r="D10" i="11"/>
  <c r="F9" i="11"/>
  <c r="E9" i="11"/>
  <c r="D9" i="11"/>
  <c r="F8" i="11"/>
  <c r="E8" i="11"/>
  <c r="D8" i="11"/>
  <c r="F7" i="11"/>
  <c r="E7" i="11"/>
  <c r="D7" i="11"/>
  <c r="F6" i="11"/>
  <c r="E6" i="11"/>
  <c r="D6" i="11"/>
  <c r="F5" i="11"/>
  <c r="E5" i="11"/>
  <c r="D5" i="11"/>
  <c r="H37" i="10"/>
  <c r="G37" i="10"/>
  <c r="F37" i="10"/>
  <c r="E37" i="10"/>
  <c r="D37" i="10"/>
  <c r="H36" i="10"/>
  <c r="G36" i="10"/>
  <c r="F36" i="10"/>
  <c r="E36" i="10"/>
  <c r="D36" i="10"/>
  <c r="H33" i="10"/>
  <c r="G33" i="10"/>
  <c r="F33" i="10"/>
  <c r="E33" i="10"/>
  <c r="D33" i="10"/>
  <c r="H31" i="10"/>
  <c r="G31" i="10"/>
  <c r="F31" i="10"/>
  <c r="E31" i="10"/>
  <c r="D31" i="10"/>
  <c r="H30" i="10"/>
  <c r="G30" i="10"/>
  <c r="F30" i="10"/>
  <c r="E30" i="10"/>
  <c r="D30" i="10"/>
  <c r="H29" i="10"/>
  <c r="G29" i="10"/>
  <c r="F29" i="10"/>
  <c r="E29" i="10"/>
  <c r="D29" i="10"/>
  <c r="H28" i="10"/>
  <c r="G28" i="10"/>
  <c r="F28" i="10"/>
  <c r="E28" i="10"/>
  <c r="D28" i="10"/>
  <c r="H27" i="10"/>
  <c r="G27" i="10"/>
  <c r="F27" i="10"/>
  <c r="E27" i="10"/>
  <c r="D27" i="10"/>
  <c r="H26" i="10"/>
  <c r="G26" i="10"/>
  <c r="F26" i="10"/>
  <c r="E26" i="10"/>
  <c r="D26" i="10"/>
  <c r="H25" i="10"/>
  <c r="G25" i="10"/>
  <c r="F25" i="10"/>
  <c r="E25" i="10"/>
  <c r="D25" i="10"/>
  <c r="H24" i="10"/>
  <c r="G24" i="10"/>
  <c r="F24" i="10"/>
  <c r="E24" i="10"/>
  <c r="D24" i="10"/>
  <c r="H22" i="10"/>
  <c r="G22" i="10"/>
  <c r="F22" i="10"/>
  <c r="E22" i="10"/>
  <c r="D22" i="10"/>
  <c r="H20" i="10"/>
  <c r="G20" i="10"/>
  <c r="F20" i="10"/>
  <c r="E20" i="10"/>
  <c r="D20" i="10"/>
  <c r="H19" i="10"/>
  <c r="G19" i="10"/>
  <c r="F19" i="10"/>
  <c r="E19" i="10"/>
  <c r="D19" i="10"/>
  <c r="H18" i="10"/>
  <c r="G18" i="10"/>
  <c r="F18" i="10"/>
  <c r="E18" i="10"/>
  <c r="D18" i="10"/>
  <c r="H17" i="10"/>
  <c r="G17" i="10"/>
  <c r="F17" i="10"/>
  <c r="E17" i="10"/>
  <c r="D17" i="10"/>
  <c r="H16" i="10"/>
  <c r="G16" i="10"/>
  <c r="F16" i="10"/>
  <c r="E16" i="10"/>
  <c r="D16" i="10"/>
  <c r="H15" i="10"/>
  <c r="G15" i="10"/>
  <c r="F15" i="10"/>
  <c r="E15" i="10"/>
  <c r="D15" i="10"/>
  <c r="H14" i="10"/>
  <c r="G14" i="10"/>
  <c r="F14" i="10"/>
  <c r="E14" i="10"/>
  <c r="D14" i="10"/>
  <c r="H13" i="10"/>
  <c r="G13" i="10"/>
  <c r="F13" i="10"/>
  <c r="E13" i="10"/>
  <c r="D13" i="10"/>
  <c r="H12" i="10"/>
  <c r="G12" i="10"/>
  <c r="F12" i="10"/>
  <c r="E12" i="10"/>
  <c r="D12" i="10"/>
  <c r="H11" i="10"/>
  <c r="G11" i="10"/>
  <c r="F11" i="10"/>
  <c r="E11" i="10"/>
  <c r="D11" i="10"/>
  <c r="H10" i="10"/>
  <c r="G10" i="10"/>
  <c r="F10" i="10"/>
  <c r="E10" i="10"/>
  <c r="D10" i="10"/>
  <c r="H9" i="10"/>
  <c r="G9" i="10"/>
  <c r="F9" i="10"/>
  <c r="E9" i="10"/>
  <c r="D9" i="10"/>
  <c r="H8" i="10"/>
  <c r="G8" i="10"/>
  <c r="F8" i="10"/>
  <c r="E8" i="10"/>
  <c r="D8" i="10"/>
  <c r="H7" i="10"/>
  <c r="G7" i="10"/>
  <c r="F7" i="10"/>
  <c r="E7" i="10"/>
  <c r="D7" i="10"/>
  <c r="H6" i="10"/>
  <c r="G6" i="10"/>
  <c r="F6" i="10"/>
  <c r="E6" i="10"/>
  <c r="D6" i="10"/>
  <c r="H5" i="10"/>
  <c r="G5" i="10"/>
  <c r="F5" i="10"/>
  <c r="E5" i="10"/>
  <c r="D5" i="10"/>
  <c r="G23" i="50"/>
  <c r="F23" i="50"/>
  <c r="E23" i="50"/>
  <c r="D23" i="50"/>
  <c r="G21" i="50"/>
  <c r="F21" i="50"/>
  <c r="E21" i="50"/>
  <c r="D21" i="50"/>
  <c r="G20" i="50"/>
  <c r="F20" i="50"/>
  <c r="E20" i="50"/>
  <c r="D20" i="50"/>
  <c r="G19" i="50"/>
  <c r="F19" i="50"/>
  <c r="E19" i="50"/>
  <c r="D19" i="50"/>
  <c r="G18" i="50"/>
  <c r="F18" i="50"/>
  <c r="E18" i="50"/>
  <c r="D18" i="50"/>
  <c r="G17" i="50"/>
  <c r="F17" i="50"/>
  <c r="E17" i="50"/>
  <c r="D17" i="50"/>
  <c r="G15" i="50"/>
  <c r="F15" i="50"/>
  <c r="E15" i="50"/>
  <c r="D15" i="50"/>
  <c r="G14" i="50"/>
  <c r="F14" i="50"/>
  <c r="E14" i="50"/>
  <c r="D14" i="50"/>
  <c r="G13" i="50"/>
  <c r="F13" i="50"/>
  <c r="E13" i="50"/>
  <c r="D13" i="50"/>
  <c r="G12" i="50"/>
  <c r="F12" i="50"/>
  <c r="E12" i="50"/>
  <c r="D12" i="50"/>
  <c r="G11" i="50"/>
  <c r="F11" i="50"/>
  <c r="E11" i="50"/>
  <c r="D11" i="50"/>
  <c r="G10" i="50"/>
  <c r="F10" i="50"/>
  <c r="E10" i="50"/>
  <c r="D10" i="50"/>
  <c r="G9" i="50"/>
  <c r="F9" i="50"/>
  <c r="E9" i="50"/>
  <c r="D9" i="50"/>
  <c r="G8" i="50"/>
  <c r="F8" i="50"/>
  <c r="E8" i="50"/>
  <c r="D8" i="50"/>
  <c r="G7" i="50"/>
  <c r="F7" i="50"/>
  <c r="E7" i="50"/>
  <c r="D7" i="50"/>
  <c r="G5" i="50"/>
  <c r="F5" i="50"/>
  <c r="E5" i="50"/>
  <c r="D5" i="50"/>
  <c r="G23" i="9"/>
  <c r="F23" i="9"/>
  <c r="E23" i="9"/>
  <c r="D23" i="9"/>
  <c r="G21" i="9"/>
  <c r="F21" i="9"/>
  <c r="E21" i="9"/>
  <c r="D21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5" i="9"/>
  <c r="F5" i="9"/>
  <c r="E5" i="9"/>
  <c r="D5" i="9"/>
  <c r="F31" i="60"/>
  <c r="E31" i="60"/>
  <c r="D31" i="60"/>
  <c r="F30" i="60"/>
  <c r="E30" i="60"/>
  <c r="D30" i="60"/>
  <c r="F29" i="60"/>
  <c r="E29" i="60"/>
  <c r="D29" i="60"/>
  <c r="F27" i="60"/>
  <c r="E27" i="60"/>
  <c r="D27" i="60"/>
  <c r="F25" i="60"/>
  <c r="E25" i="60"/>
  <c r="D25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2" i="60"/>
  <c r="E12" i="60"/>
  <c r="D12" i="60"/>
  <c r="F10" i="60"/>
  <c r="E10" i="60"/>
  <c r="D10" i="60"/>
  <c r="F9" i="60"/>
  <c r="E9" i="60"/>
  <c r="D9" i="60"/>
  <c r="F8" i="60"/>
  <c r="E8" i="60"/>
  <c r="D8" i="60"/>
  <c r="F7" i="60"/>
  <c r="E7" i="60"/>
  <c r="D7" i="60"/>
  <c r="F6" i="60"/>
  <c r="E6" i="60"/>
  <c r="D6" i="60"/>
  <c r="F5" i="60"/>
  <c r="E5" i="60"/>
  <c r="D5" i="60"/>
  <c r="F3" i="60"/>
  <c r="E3" i="60"/>
  <c r="D3" i="60"/>
  <c r="F36" i="8"/>
  <c r="E36" i="8"/>
  <c r="D36" i="8"/>
  <c r="F35" i="8"/>
  <c r="E35" i="8"/>
  <c r="D35" i="8"/>
  <c r="F34" i="8"/>
  <c r="E34" i="8"/>
  <c r="D34" i="8"/>
  <c r="F33" i="8"/>
  <c r="E33" i="8"/>
  <c r="D33" i="8"/>
  <c r="F31" i="8"/>
  <c r="E31" i="8"/>
  <c r="D31" i="8"/>
  <c r="F29" i="8"/>
  <c r="E29" i="8"/>
  <c r="D29" i="8"/>
  <c r="F27" i="8"/>
  <c r="E27" i="8"/>
  <c r="D27" i="8"/>
  <c r="F26" i="8"/>
  <c r="E26" i="8"/>
  <c r="D26" i="8"/>
  <c r="F25" i="8"/>
  <c r="E25" i="8"/>
  <c r="D25" i="8"/>
  <c r="F24" i="8"/>
  <c r="E24" i="8"/>
  <c r="D24" i="8"/>
  <c r="F23" i="8"/>
  <c r="E23" i="8"/>
  <c r="D23" i="8"/>
  <c r="F22" i="8"/>
  <c r="E22" i="8"/>
  <c r="D22" i="8"/>
  <c r="F21" i="8"/>
  <c r="E21" i="8"/>
  <c r="D21" i="8"/>
  <c r="F20" i="8"/>
  <c r="E20" i="8"/>
  <c r="D20" i="8"/>
  <c r="F19" i="8"/>
  <c r="E19" i="8"/>
  <c r="D19" i="8"/>
  <c r="F18" i="8"/>
  <c r="E18" i="8"/>
  <c r="D18" i="8"/>
  <c r="F17" i="8"/>
  <c r="E17" i="8"/>
  <c r="D17" i="8"/>
  <c r="F16" i="8"/>
  <c r="E16" i="8"/>
  <c r="D16" i="8"/>
  <c r="F15" i="8"/>
  <c r="E15" i="8"/>
  <c r="D15" i="8"/>
  <c r="F14" i="8"/>
  <c r="E14" i="8"/>
  <c r="D14" i="8"/>
  <c r="F12" i="8"/>
  <c r="E12" i="8"/>
  <c r="D12" i="8"/>
  <c r="F10" i="8"/>
  <c r="E10" i="8"/>
  <c r="D10" i="8"/>
  <c r="F9" i="8"/>
  <c r="E9" i="8"/>
  <c r="D9" i="8"/>
  <c r="F8" i="8"/>
  <c r="E8" i="8"/>
  <c r="D8" i="8"/>
  <c r="F7" i="8"/>
  <c r="E7" i="8"/>
  <c r="D7" i="8"/>
  <c r="F6" i="8"/>
  <c r="E6" i="8"/>
  <c r="D6" i="8"/>
  <c r="F5" i="8"/>
  <c r="E5" i="8"/>
  <c r="D5" i="8"/>
  <c r="H46" i="32"/>
  <c r="G46" i="32"/>
  <c r="F46" i="32"/>
  <c r="E46" i="32"/>
  <c r="D46" i="32"/>
  <c r="H45" i="32"/>
  <c r="G45" i="32"/>
  <c r="F45" i="32"/>
  <c r="E45" i="32"/>
  <c r="D45" i="32"/>
  <c r="H44" i="32"/>
  <c r="G44" i="32"/>
  <c r="F44" i="32"/>
  <c r="E44" i="32"/>
  <c r="D44" i="32"/>
  <c r="H43" i="32"/>
  <c r="G43" i="32"/>
  <c r="F43" i="32"/>
  <c r="E43" i="32"/>
  <c r="D43" i="32"/>
  <c r="H42" i="32"/>
  <c r="G42" i="32"/>
  <c r="F42" i="32"/>
  <c r="E42" i="32"/>
  <c r="D42" i="32"/>
  <c r="H41" i="32"/>
  <c r="G41" i="32"/>
  <c r="F41" i="32"/>
  <c r="E41" i="32"/>
  <c r="D41" i="32"/>
  <c r="H39" i="32"/>
  <c r="G39" i="32"/>
  <c r="F39" i="32"/>
  <c r="E39" i="32"/>
  <c r="D39" i="32"/>
  <c r="H38" i="32"/>
  <c r="G38" i="32"/>
  <c r="F38" i="32"/>
  <c r="E38" i="32"/>
  <c r="D38" i="32"/>
  <c r="H36" i="32"/>
  <c r="G36" i="32"/>
  <c r="F36" i="32"/>
  <c r="E36" i="32"/>
  <c r="D36" i="32"/>
  <c r="H35" i="32"/>
  <c r="G35" i="32"/>
  <c r="F35" i="32"/>
  <c r="E35" i="32"/>
  <c r="D35" i="32"/>
  <c r="H34" i="32"/>
  <c r="G34" i="32"/>
  <c r="F34" i="32"/>
  <c r="E34" i="32"/>
  <c r="D34" i="32"/>
  <c r="H33" i="32"/>
  <c r="G33" i="32"/>
  <c r="F33" i="32"/>
  <c r="E33" i="32"/>
  <c r="D33" i="32"/>
  <c r="H32" i="32"/>
  <c r="G32" i="32"/>
  <c r="F32" i="32"/>
  <c r="E32" i="32"/>
  <c r="D32" i="32"/>
  <c r="H31" i="32"/>
  <c r="G31" i="32"/>
  <c r="F31" i="32"/>
  <c r="E31" i="32"/>
  <c r="D31" i="32"/>
  <c r="H30" i="32"/>
  <c r="G30" i="32"/>
  <c r="F30" i="32"/>
  <c r="E30" i="32"/>
  <c r="D30" i="32"/>
  <c r="H29" i="32"/>
  <c r="G29" i="32"/>
  <c r="F29" i="32"/>
  <c r="E29" i="32"/>
  <c r="D29" i="32"/>
  <c r="H28" i="32"/>
  <c r="G28" i="32"/>
  <c r="F28" i="32"/>
  <c r="E28" i="32"/>
  <c r="D28" i="32"/>
  <c r="H27" i="32"/>
  <c r="G27" i="32"/>
  <c r="F27" i="32"/>
  <c r="E27" i="32"/>
  <c r="D27" i="32"/>
  <c r="H26" i="32"/>
  <c r="G26" i="32"/>
  <c r="F26" i="32"/>
  <c r="E26" i="32"/>
  <c r="D26" i="32"/>
  <c r="H25" i="32"/>
  <c r="G25" i="32"/>
  <c r="F25" i="32"/>
  <c r="E25" i="32"/>
  <c r="D25" i="32"/>
  <c r="H24" i="32"/>
  <c r="G24" i="32"/>
  <c r="F24" i="32"/>
  <c r="E24" i="32"/>
  <c r="D24" i="32"/>
  <c r="H23" i="32"/>
  <c r="G23" i="32"/>
  <c r="F23" i="32"/>
  <c r="E23" i="32"/>
  <c r="D23" i="32"/>
  <c r="H22" i="32"/>
  <c r="G22" i="32"/>
  <c r="F22" i="32"/>
  <c r="E22" i="32"/>
  <c r="D22" i="32"/>
  <c r="H21" i="32"/>
  <c r="G21" i="32"/>
  <c r="F21" i="32"/>
  <c r="E21" i="32"/>
  <c r="D21" i="32"/>
  <c r="H20" i="32"/>
  <c r="G20" i="32"/>
  <c r="F20" i="32"/>
  <c r="E20" i="32"/>
  <c r="D20" i="32"/>
  <c r="H19" i="32"/>
  <c r="G19" i="32"/>
  <c r="F19" i="32"/>
  <c r="E19" i="32"/>
  <c r="D19" i="32"/>
  <c r="H18" i="32"/>
  <c r="G18" i="32"/>
  <c r="F18" i="32"/>
  <c r="E18" i="32"/>
  <c r="D18" i="32"/>
  <c r="H17" i="32"/>
  <c r="G17" i="32"/>
  <c r="F17" i="32"/>
  <c r="E17" i="32"/>
  <c r="D17" i="32"/>
  <c r="H16" i="32"/>
  <c r="G16" i="32"/>
  <c r="F16" i="32"/>
  <c r="E16" i="32"/>
  <c r="D16" i="32"/>
  <c r="H15" i="32"/>
  <c r="G15" i="32"/>
  <c r="F15" i="32"/>
  <c r="E15" i="32"/>
  <c r="D15" i="32"/>
  <c r="H14" i="32"/>
  <c r="G14" i="32"/>
  <c r="F14" i="32"/>
  <c r="E14" i="32"/>
  <c r="D14" i="32"/>
  <c r="H13" i="32"/>
  <c r="G13" i="32"/>
  <c r="F13" i="32"/>
  <c r="E13" i="32"/>
  <c r="D13" i="32"/>
  <c r="H12" i="32"/>
  <c r="G12" i="32"/>
  <c r="F12" i="32"/>
  <c r="E12" i="32"/>
  <c r="D12" i="32"/>
  <c r="H11" i="32"/>
  <c r="G11" i="32"/>
  <c r="F11" i="32"/>
  <c r="E11" i="32"/>
  <c r="D11" i="32"/>
  <c r="H10" i="32"/>
  <c r="G10" i="32"/>
  <c r="F10" i="32"/>
  <c r="E10" i="32"/>
  <c r="D10" i="32"/>
  <c r="H9" i="32"/>
  <c r="G9" i="32"/>
  <c r="F9" i="32"/>
  <c r="E9" i="32"/>
  <c r="D9" i="32"/>
  <c r="H8" i="32"/>
  <c r="G8" i="32"/>
  <c r="F8" i="32"/>
  <c r="E8" i="32"/>
  <c r="D8" i="32"/>
  <c r="H7" i="32"/>
  <c r="G7" i="32"/>
  <c r="F7" i="32"/>
  <c r="E7" i="32"/>
  <c r="D7" i="32"/>
  <c r="H6" i="32"/>
  <c r="G6" i="32"/>
  <c r="F6" i="32"/>
  <c r="E6" i="32"/>
  <c r="D6" i="32"/>
  <c r="H5" i="32"/>
  <c r="G5" i="32"/>
  <c r="F5" i="32"/>
  <c r="E5" i="32"/>
  <c r="D5" i="32"/>
  <c r="G3" i="12"/>
  <c r="K3" i="12"/>
  <c r="H3" i="12"/>
  <c r="F3" i="11" l="1"/>
  <c r="G3" i="32"/>
  <c r="L3" i="12"/>
  <c r="M3" i="12"/>
  <c r="I3" i="12" l="1"/>
  <c r="J3" i="12"/>
  <c r="A15" i="54" l="1"/>
  <c r="A18" i="54" l="1"/>
  <c r="A17" i="54"/>
  <c r="A16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P2" i="12"/>
  <c r="N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<sst xmlns="http://schemas.openxmlformats.org/spreadsheetml/2006/main" count="128" uniqueCount="105">
  <si>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</si>
  <si>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</si>
  <si>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</si>
  <si>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</si>
  <si>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</si>
  <si>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</si>
  <si>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</si>
  <si>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</si>
  <si>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</si>
  <si>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</si>
  <si>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</si>
  <si>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</si>
  <si>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</si>
  <si>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</si>
  <si>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</si>
  <si>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</si>
  <si>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</si>
  <si>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</si>
  <si>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</si>
  <si>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</si>
  <si>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</si>
  <si>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</si>
  <si>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</si>
  <si>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</si>
  <si>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</si>
  <si>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</si>
  <si>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</si>
  <si>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</si>
  <si>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</si>
  <si>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</si>
  <si>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</si>
  <si>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</si>
  <si>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</si>
  <si>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</si>
  <si>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</si>
  <si>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</si>
  <si>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</si>
  <si>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</si>
  <si>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</si>
  <si>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</si>
  <si>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</si>
  <si>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</si>
  <si>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</si>
  <si>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</si>
  <si>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</si>
  <si>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</si>
  <si>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</si>
  <si>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</si>
  <si>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</si>
  <si>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</si>
  <si>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</si>
  <si>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</si>
  <si>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</si>
  <si>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</si>
  <si>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</si>
  <si>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</si>
  <si>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</si>
  <si>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</si>
  <si>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</si>
  <si>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</si>
  <si>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</si>
  <si>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</si>
  <si>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</si>
  <si>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</si>
  <si>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</si>
  <si>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</si>
  <si>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</si>
  <si>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</si>
  <si>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</si>
  <si>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</si>
  <si>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</si>
  <si>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</si>
  <si>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Direção Regional de Pescas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</si>
  <si>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</si>
  <si>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</si>
  <si>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</si>
  <si>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</si>
  <si>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CARAM -Centro de Abate da Região Autónoma da Madeira, EPERAM</t>
  </si>
  <si>
    <t>Secretaria Regional de Equipamentos e Infraestruturas</t>
  </si>
  <si>
    <t>Direção Regional do Ambiente e Mar</t>
  </si>
  <si>
    <t>Secretaria Regional de Economia</t>
  </si>
  <si>
    <t>Gabinete da Secretaria Regional</t>
  </si>
  <si>
    <t>Direção Regional de Competitividade, Inovação e Sustentabilidade</t>
  </si>
  <si>
    <t>Gabinete para a Conformidade Digital, Proteção de Dados e Cibersegurança</t>
  </si>
  <si>
    <t>Secretaria Regional de Agricultura e Pescas</t>
  </si>
  <si>
    <t>Direção Regional de Veterinária e Bem-estar Animal</t>
  </si>
  <si>
    <t>Autoridade Regional para as Condições de Trabalho</t>
  </si>
  <si>
    <t>Direção Regional de Energia</t>
  </si>
  <si>
    <t>Direção Regional dos Transportes e da Mobilidade Terrestre</t>
  </si>
  <si>
    <t>Instituto das Artes da Madeira</t>
  </si>
  <si>
    <t>Invest-Madeira- Agência para a Internacionalização e Investimento</t>
  </si>
  <si>
    <t>Horários do Funchal - Transportes Públicos S.A.</t>
  </si>
  <si>
    <t>TIIM - Transportes Integrados e Intermodais da Madeira, S.A.</t>
  </si>
  <si>
    <t>Secretaria Regional de Turismo, Ambiente e Cultura</t>
  </si>
  <si>
    <t>ARDITI-Agencia Regional Para Desenvolvimento da Inv. Tecnologica e Inovaçao</t>
  </si>
  <si>
    <t>Escola Básica e Secundária Bispo D. Manuel Ferreira Cabral - Santana</t>
  </si>
  <si>
    <t>Direção Regional de Turismo</t>
  </si>
  <si>
    <t>Direção Regional da Cultura</t>
  </si>
  <si>
    <t>Direção Regional do Arquivo e Biblioteca da Madeira</t>
  </si>
  <si>
    <t>Direção Regional de Juventude</t>
  </si>
  <si>
    <t>Instituto para a Qualificação</t>
  </si>
  <si>
    <t>EHTM-Escola de Hotelaria e Turismo da Madeira</t>
  </si>
  <si>
    <t>Instituto do Vinho, do Bordado e do Artesanato da Madeira</t>
  </si>
  <si>
    <t>Direção Regional do Ordenamento do Território</t>
  </si>
  <si>
    <t>Direção Regional da Saúde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</si>
</sst>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4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167" fontId="26" fillId="0" borderId="125" xfId="56" applyNumberFormat="1" applyFont="1" applyBorder="1" applyAlignment="1">
      <alignment horizontal="center" vertical="center" wrapText="1"/>
    </xf>
    <xf numFmtId="0" fontId="71" fillId="0" borderId="12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8" fillId="0" borderId="21" xfId="62" applyFont="1" applyBorder="1" applyAlignment="1">
      <alignment horizontal="center" vertical="center"/>
    </xf>
    <xf numFmtId="0" fontId="65" fillId="0" borderId="25" xfId="62" applyFont="1" applyBorder="1" applyAlignment="1">
      <alignment horizont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25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  <xf numFmtId="0" fontId="70" fillId="0" borderId="0" xfId="0" applyFont="1" applyBorder="1" applyAlignment="1">
      <alignment vertical="center"/>
    </xf>
    <xf numFmtId="0" fontId="0" fillId="0" borderId="0" xfId="0" applyBorder="1"/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28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4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12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12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adeiragov-my.sharepoint.com/personal/hugo_costa_madeira_gov_pt/Documents/Documentos/DROC/Pagamentos%20em%20atraso/2025/Novembro/MPA_Novembro_2025.xlsx" TargetMode="External"/><Relationship Id="rId1" Type="http://schemas.openxmlformats.org/officeDocument/2006/relationships/externalLinkPath" Target="https://madeiragov-my.sharepoint.com/personal/hugo_costa_madeira_gov_pt/Documents/Documentos/DROC/Pagamentos%20em%20atraso/2025/Novembro/MPA_Novembro_2025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ugo.costa\Disco\Boletim%20mensal\2025\Novembro\Novembro_2025.xlsx" TargetMode="External"/><Relationship Id="rId1" Type="http://schemas.openxmlformats.org/officeDocument/2006/relationships/externalLinkPath" Target="Novembro_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Regional-Accounts"/>
      <sheetName val="Caderno_SIGO"/>
      <sheetName val="RESUMO_Info"/>
      <sheetName val="SIGO_vs_MPA"/>
      <sheetName val="PMP"/>
      <sheetName val="RAM_CP (REPORTE)"/>
      <sheetName val="Folha1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ODES"/>
      <sheetName val="DOREC"/>
      <sheetName val="R_SFA"/>
      <sheetName val="D_SFA"/>
      <sheetName val="MPA"/>
      <sheetName val="GR"/>
      <sheetName val="SFA"/>
      <sheetName val="EPR"/>
      <sheetName val="ALM"/>
      <sheetName val="PGR"/>
      <sheetName val="SRE"/>
      <sheetName val="SRTAC"/>
      <sheetName val="SREC"/>
      <sheetName val="SRS"/>
      <sheetName val="SRF"/>
      <sheetName val="SRAP"/>
      <sheetName val="SRITJ"/>
      <sheetName val="SR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 t="str">
            <v xml:space="preserve">Impostos directos </v>
          </cell>
        </row>
        <row r="17">
          <cell r="C17" t="str">
            <v>Impostos indirectos</v>
          </cell>
        </row>
        <row r="33">
          <cell r="C33" t="str">
            <v>Contribuições de Segurança Social</v>
          </cell>
        </row>
        <row r="46">
          <cell r="C46" t="str">
            <v>Outras receitas correntes</v>
          </cell>
        </row>
        <row r="78">
          <cell r="C78" t="str">
            <v>Outras receitas correntes</v>
          </cell>
        </row>
        <row r="109">
          <cell r="C109" t="str">
            <v>Outras receitas correntes</v>
          </cell>
        </row>
        <row r="116">
          <cell r="C116" t="str">
            <v>Outras receitas correntes(das quais:transf. de Outros Subsectores da AP)</v>
          </cell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4">
          <cell r="C134" t="str">
            <v>Outras receitas correntes(das quais:transf. de Outros Subsectores da AP)</v>
          </cell>
        </row>
        <row r="151">
          <cell r="C151" t="str">
            <v>Outras receitas correntes</v>
          </cell>
        </row>
        <row r="180">
          <cell r="C180" t="str">
            <v>Outras receitas correntes</v>
          </cell>
        </row>
        <row r="181">
          <cell r="C181" t="str">
            <v>0802</v>
          </cell>
        </row>
        <row r="185">
          <cell r="C185" t="str">
            <v>0802</v>
          </cell>
        </row>
        <row r="186">
          <cell r="C186" t="str">
            <v>RECEITAS DE CAPITAL</v>
          </cell>
        </row>
        <row r="239">
          <cell r="C239" t="str">
            <v>RECEITAS DE CAPITAL</v>
          </cell>
        </row>
        <row r="246">
          <cell r="C246" t="str">
            <v>RECEITAS DE CAPITAL(das quais:transf. de Outros Subsectores da AP)</v>
          </cell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4">
          <cell r="C264" t="str">
            <v>RECEITAS DE CAPITAL(das quais:transf. de Outros Subsectores da AP)</v>
          </cell>
        </row>
        <row r="280">
          <cell r="C280" t="str">
            <v>ACTIVOS FINANCEIROS RECEITA</v>
          </cell>
        </row>
        <row r="400">
          <cell r="C400" t="str">
            <v>PASSIVOS FINANCEIROS RECEITA</v>
          </cell>
        </row>
        <row r="492">
          <cell r="C492" t="str">
            <v>RECEITAS DE CAPITAL</v>
          </cell>
        </row>
        <row r="497">
          <cell r="C497" t="str">
            <v>RECURSOS PROPRIOS DA COMUNIDADE:</v>
          </cell>
        </row>
        <row r="503">
          <cell r="C503" t="str">
            <v>RECEITAS DE CAPITAL</v>
          </cell>
        </row>
        <row r="506">
          <cell r="C506" t="str">
            <v>SALDO DA GERENCIA ANTERIOR</v>
          </cell>
        </row>
        <row r="513">
          <cell r="C513" t="str">
            <v>OPERACOES EXTRA-ORCAMENTAIS RECEITA</v>
          </cell>
        </row>
        <row r="519">
          <cell r="C519" t="str">
            <v>Despesas com o Pessoal</v>
          </cell>
        </row>
        <row r="562">
          <cell r="C562" t="str">
            <v>Aquisição de  Bens Serv. e Outras Desp. Corr.</v>
          </cell>
        </row>
        <row r="611">
          <cell r="C611" t="str">
            <v>Juros e Outros Encargos</v>
          </cell>
        </row>
        <row r="648">
          <cell r="C648" t="str">
            <v>Transferências Correntes</v>
          </cell>
        </row>
        <row r="650">
          <cell r="C650" t="str">
            <v>Transferências Correntes(das quais:transf. para EP fora do perímetro APR)</v>
          </cell>
        </row>
        <row r="655">
          <cell r="C655" t="str">
            <v>Transferências Correntes(das quais:transf. para Outros Subsectores da AP)</v>
          </cell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93">
          <cell r="C693" t="str">
            <v>Subsidios</v>
          </cell>
        </row>
        <row r="712">
          <cell r="C712" t="str">
            <v>D.05.04.03</v>
          </cell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6">
          <cell r="C736" t="str">
            <v>Investimentos</v>
          </cell>
        </row>
        <row r="770">
          <cell r="C770" t="str">
            <v>Transferências de Capital</v>
          </cell>
        </row>
        <row r="772">
          <cell r="C772" t="str">
            <v>Transferências de Capital(das quais:transf. para EP fora do perímetro APR)</v>
          </cell>
        </row>
        <row r="777">
          <cell r="C777" t="str">
            <v>Transferências de Capital(das quais:transf. para Outros Subsectores da AP)</v>
          </cell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92">
          <cell r="C792" t="str">
            <v>Transferências de Capital(das quais:transf. para Outros Subsectores da AP)</v>
          </cell>
        </row>
        <row r="811">
          <cell r="C811" t="str">
            <v>ACTIVOS FINANCEIROS DESPESA</v>
          </cell>
        </row>
        <row r="965">
          <cell r="C965" t="str">
            <v>PASSIVOS FINANCEIROS DESPESA</v>
          </cell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8">
          <cell r="C1088" t="str">
            <v>OPERACOES EXTRA-ORCAMENTAIS DESPESA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solid"/>
      <sheetName val="ORG_n1"/>
      <sheetName val="CF"/>
      <sheetName val="Adm R"/>
      <sheetName val="Análise"/>
      <sheetName val="DGO_N_Covid"/>
      <sheetName val="DGO__N1"/>
      <sheetName val="DGO_N"/>
      <sheetName val="REC N1"/>
      <sheetName val="DOREC"/>
      <sheetName val="Desp_N1"/>
      <sheetName val="UKR"/>
      <sheetName val="DODES"/>
      <sheetName val="Síntese Global"/>
      <sheetName val="D_SFA"/>
      <sheetName val="R_SFA"/>
      <sheetName val="RAM_CP (REPORTE)"/>
      <sheetName val="Caderno_SIGO"/>
      <sheetName val="GOV mensal-acumulado"/>
      <sheetName val="COVID"/>
      <sheetName val="Consolidado_Q1"/>
      <sheetName val="GRF"/>
      <sheetName val="Global_Est_Q2_3"/>
      <sheetName val="R_Est_Q4_5"/>
      <sheetName val="D_Est ECO_Q6"/>
      <sheetName val="D_Est_Func_Q7"/>
      <sheetName val="D_Est_Org_Q8"/>
      <sheetName val="Saldo_Global EPR_Q9"/>
      <sheetName val="SFA acumulado_Q10_11"/>
      <sheetName val="SFA+EPR mensal-acumulado_Q12"/>
      <sheetName val="Gov+SFA+EPR_Q13_14"/>
      <sheetName val="Compromissos_Q15_16_17_18"/>
      <sheetName val="Orgânica"/>
      <sheetName val="Pagamentos_Atraso (SI)"/>
      <sheetName val="Pagamentos_Atraso (SFA_EPR)"/>
      <sheetName val="Gloss"/>
      <sheetName val="Gloss_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7">
          <cell r="M67">
            <v>1449388.9809300001</v>
          </cell>
          <cell r="N67">
            <v>576376.80051999993</v>
          </cell>
          <cell r="O67">
            <v>378057.17907999991</v>
          </cell>
          <cell r="P67">
            <v>1571338.08711</v>
          </cell>
          <cell r="R67">
            <v>4.4618055981548554</v>
          </cell>
        </row>
        <row r="68">
          <cell r="M68">
            <v>411937.75789000001</v>
          </cell>
          <cell r="N68">
            <v>0</v>
          </cell>
          <cell r="O68">
            <v>0</v>
          </cell>
          <cell r="P68">
            <v>411937.75789000001</v>
          </cell>
          <cell r="R68">
            <v>-3.3749872726832608</v>
          </cell>
        </row>
        <row r="69">
          <cell r="M69">
            <v>717419.03096</v>
          </cell>
          <cell r="N69">
            <v>0</v>
          </cell>
          <cell r="O69">
            <v>0</v>
          </cell>
          <cell r="P69">
            <v>717419.03096</v>
          </cell>
          <cell r="R69">
            <v>0.6396774159682872</v>
          </cell>
        </row>
        <row r="70"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</row>
        <row r="71">
          <cell r="M71">
            <v>320032.19207999995</v>
          </cell>
          <cell r="N71">
            <v>576376.80051999993</v>
          </cell>
          <cell r="O71">
            <v>378057.17907999991</v>
          </cell>
          <cell r="P71">
            <v>437709.48558999994</v>
          </cell>
          <cell r="R71">
            <v>22.620679597830385</v>
          </cell>
        </row>
        <row r="72">
          <cell r="M72">
            <v>271953.63123</v>
          </cell>
          <cell r="N72">
            <v>558332.26815999998</v>
          </cell>
          <cell r="O72">
            <v>326553.53563999996</v>
          </cell>
          <cell r="P72">
            <v>320104.69589000009</v>
          </cell>
          <cell r="R72">
            <v>23.808205119259117</v>
          </cell>
        </row>
        <row r="73">
          <cell r="M73">
            <v>266236.47055999999</v>
          </cell>
          <cell r="N73">
            <v>1442.00595</v>
          </cell>
          <cell r="O73">
            <v>52.937870000000004</v>
          </cell>
          <cell r="P73">
            <v>267731.41437999997</v>
          </cell>
          <cell r="R73">
            <v>26.195818762446098</v>
          </cell>
        </row>
        <row r="74">
          <cell r="M74">
            <v>0</v>
          </cell>
          <cell r="N74">
            <v>512425.37321999978</v>
          </cell>
          <cell r="O74">
            <v>324309.36591999995</v>
          </cell>
          <cell r="P74">
            <v>0</v>
          </cell>
          <cell r="R74">
            <v>0</v>
          </cell>
        </row>
        <row r="75">
          <cell r="P75">
            <v>4271.8126699998393</v>
          </cell>
        </row>
        <row r="76">
          <cell r="M76">
            <v>137445.41769000003</v>
          </cell>
          <cell r="N76">
            <v>9494.5071800000023</v>
          </cell>
          <cell r="O76">
            <v>105298.51938000003</v>
          </cell>
          <cell r="P76">
            <v>208101.57540000009</v>
          </cell>
          <cell r="R76">
            <v>7.3852155255047958</v>
          </cell>
        </row>
        <row r="77">
          <cell r="M77">
            <v>5958.7262199999996</v>
          </cell>
          <cell r="N77">
            <v>0</v>
          </cell>
          <cell r="O77">
            <v>2757.4862099999996</v>
          </cell>
          <cell r="P77">
            <v>8716.2124299999996</v>
          </cell>
          <cell r="R77">
            <v>256.77972549318167</v>
          </cell>
        </row>
        <row r="78">
          <cell r="M78">
            <v>128228.80903000002</v>
          </cell>
          <cell r="N78">
            <v>9406.7041800000025</v>
          </cell>
          <cell r="O78">
            <v>102459.61923000001</v>
          </cell>
          <cell r="P78">
            <v>191277.46057000002</v>
          </cell>
          <cell r="R78">
            <v>4.1395765566328624</v>
          </cell>
        </row>
        <row r="79">
          <cell r="M79">
            <v>93237.670469999997</v>
          </cell>
          <cell r="N79">
            <v>170.06301000000002</v>
          </cell>
          <cell r="O79">
            <v>0</v>
          </cell>
          <cell r="P79">
            <v>93407.733479999995</v>
          </cell>
          <cell r="R79">
            <v>-23.549209701929286</v>
          </cell>
        </row>
        <row r="80">
          <cell r="M80">
            <v>0</v>
          </cell>
          <cell r="N80">
            <v>1702.1166099999998</v>
          </cell>
          <cell r="O80">
            <v>47115.555260000001</v>
          </cell>
          <cell r="P80">
            <v>0</v>
          </cell>
          <cell r="R80">
            <v>0</v>
          </cell>
        </row>
        <row r="81">
          <cell r="P81">
            <v>4680.8030200000067</v>
          </cell>
        </row>
        <row r="82">
          <cell r="M82">
            <v>1586834.3986200001</v>
          </cell>
          <cell r="N82">
            <v>585871.30769999989</v>
          </cell>
          <cell r="O82">
            <v>483355.69845999993</v>
          </cell>
          <cell r="P82">
            <v>1779439.6625100002</v>
          </cell>
          <cell r="R82">
            <v>4.7954468481636869</v>
          </cell>
        </row>
        <row r="83">
          <cell r="M83">
            <v>1319221.7722900007</v>
          </cell>
          <cell r="N83">
            <v>550864.23456000001</v>
          </cell>
          <cell r="O83">
            <v>408071.61315999978</v>
          </cell>
          <cell r="P83">
            <v>1445672.7465900008</v>
          </cell>
          <cell r="R83">
            <v>5.2678422819199877</v>
          </cell>
        </row>
        <row r="84">
          <cell r="M84">
            <v>589462.88017999975</v>
          </cell>
          <cell r="N84">
            <v>179797.18312</v>
          </cell>
          <cell r="O84">
            <v>394323.67355999979</v>
          </cell>
          <cell r="P84">
            <v>1163583.7368599996</v>
          </cell>
          <cell r="R84">
            <v>6.081120423202302</v>
          </cell>
        </row>
        <row r="85">
          <cell r="M85">
            <v>445575.9868199997</v>
          </cell>
          <cell r="N85">
            <v>58465.658599999944</v>
          </cell>
          <cell r="O85">
            <v>273081.7712199997</v>
          </cell>
          <cell r="P85">
            <v>777123.41663999937</v>
          </cell>
          <cell r="R85">
            <v>6.6457409218252161</v>
          </cell>
        </row>
        <row r="86">
          <cell r="M86">
            <v>143886.89336000005</v>
          </cell>
          <cell r="N86">
            <v>121331.52452000006</v>
          </cell>
          <cell r="O86">
            <v>121241.90234000007</v>
          </cell>
          <cell r="P86">
            <v>386460.32022000017</v>
          </cell>
          <cell r="R86">
            <v>4.9636472027179357</v>
          </cell>
        </row>
        <row r="87">
          <cell r="M87">
            <v>5367.6739299999999</v>
          </cell>
          <cell r="N87">
            <v>29613.967220000002</v>
          </cell>
          <cell r="O87">
            <v>11.661100000000001</v>
          </cell>
          <cell r="P87">
            <v>34971.355300000003</v>
          </cell>
          <cell r="R87">
            <v>2.5225253802390046</v>
          </cell>
        </row>
        <row r="88">
          <cell r="M88">
            <v>108297.21162</v>
          </cell>
          <cell r="N88">
            <v>2221.5760799999998</v>
          </cell>
          <cell r="O88">
            <v>749.47802000000001</v>
          </cell>
          <cell r="P88">
            <v>111268.26572</v>
          </cell>
          <cell r="R88">
            <v>-7.0382461863305767</v>
          </cell>
        </row>
        <row r="89">
          <cell r="M89">
            <v>616094.00656000106</v>
          </cell>
          <cell r="N89">
            <v>339231.50813999999</v>
          </cell>
          <cell r="O89">
            <v>12986.800480000002</v>
          </cell>
          <cell r="P89">
            <v>135849.38871000125</v>
          </cell>
          <cell r="R89">
            <v>10.76770635575317</v>
          </cell>
        </row>
        <row r="90">
          <cell r="M90">
            <v>50</v>
          </cell>
          <cell r="N90">
            <v>2800.7875400000003</v>
          </cell>
          <cell r="O90">
            <v>0</v>
          </cell>
          <cell r="P90">
            <v>2850.7875400000003</v>
          </cell>
          <cell r="R90">
            <v>16.39202402980753</v>
          </cell>
        </row>
        <row r="91">
          <cell r="M91">
            <v>533505.33739999984</v>
          </cell>
          <cell r="N91">
            <v>298957.58907000005</v>
          </cell>
          <cell r="O91">
            <v>0</v>
          </cell>
          <cell r="P91">
            <v>0</v>
          </cell>
          <cell r="R91">
            <v>0</v>
          </cell>
        </row>
        <row r="92">
          <cell r="P92">
            <v>0</v>
          </cell>
        </row>
        <row r="93">
          <cell r="M93">
            <v>142945.81169999996</v>
          </cell>
          <cell r="N93">
            <v>8164.1343199999992</v>
          </cell>
          <cell r="O93">
            <v>100194.08845000002</v>
          </cell>
          <cell r="P93">
            <v>207167.16561999999</v>
          </cell>
          <cell r="R93">
            <v>15.625662093050741</v>
          </cell>
        </row>
        <row r="94">
          <cell r="M94">
            <v>65671.841389999943</v>
          </cell>
          <cell r="N94">
            <v>3785.2251599999995</v>
          </cell>
          <cell r="O94">
            <v>99205.781840000025</v>
          </cell>
          <cell r="P94">
            <v>168662.84838999997</v>
          </cell>
          <cell r="R94">
            <v>10.192446075312667</v>
          </cell>
        </row>
        <row r="95">
          <cell r="M95">
            <v>77273.970310000019</v>
          </cell>
          <cell r="N95">
            <v>4378.9091600000002</v>
          </cell>
          <cell r="O95">
            <v>988.30661000000009</v>
          </cell>
          <cell r="P95">
            <v>38504.317230000022</v>
          </cell>
          <cell r="R95">
            <v>57.644357743782827</v>
          </cell>
        </row>
        <row r="96">
          <cell r="M96">
            <v>17022.32156</v>
          </cell>
          <cell r="N96">
            <v>0</v>
          </cell>
          <cell r="O96">
            <v>0</v>
          </cell>
          <cell r="P96">
            <v>17022.32156</v>
          </cell>
          <cell r="R96">
            <v>49.411401471009022</v>
          </cell>
        </row>
        <row r="97">
          <cell r="M97">
            <v>44136.868849999992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</row>
        <row r="98"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</row>
        <row r="100">
          <cell r="M100">
            <v>1462167.5839900007</v>
          </cell>
          <cell r="N100">
            <v>559028.36887999997</v>
          </cell>
          <cell r="O100">
            <v>508265.70160999981</v>
          </cell>
          <cell r="P100">
            <v>1652839.9122100007</v>
          </cell>
          <cell r="R100">
            <v>6.4632163610860882</v>
          </cell>
        </row>
        <row r="101">
          <cell r="M101">
            <v>124666.81462999946</v>
          </cell>
          <cell r="N101">
            <v>26842.938819999923</v>
          </cell>
          <cell r="O101">
            <v>-24910.003149999888</v>
          </cell>
          <cell r="P101">
            <v>126599.75029999949</v>
          </cell>
          <cell r="R101">
            <v>-12.99812045950366</v>
          </cell>
        </row>
        <row r="103">
          <cell r="M103">
            <v>130167.20863999939</v>
          </cell>
          <cell r="N103">
            <v>25512.56595999992</v>
          </cell>
          <cell r="O103">
            <v>-30014.434079999861</v>
          </cell>
          <cell r="P103">
            <v>125665.34051999915</v>
          </cell>
          <cell r="R103">
            <v>-3.9950191951809932</v>
          </cell>
        </row>
        <row r="104">
          <cell r="M104">
            <v>1210924.5606700007</v>
          </cell>
          <cell r="N104">
            <v>548642.65847999998</v>
          </cell>
          <cell r="O104">
            <v>407322.13513999979</v>
          </cell>
          <cell r="P104">
            <v>1334404.4808700008</v>
          </cell>
          <cell r="R104">
            <v>6.4427825017940421</v>
          </cell>
        </row>
        <row r="105">
          <cell r="M105">
            <v>238464.42025999934</v>
          </cell>
          <cell r="N105">
            <v>27734.142039999948</v>
          </cell>
          <cell r="O105">
            <v>-29264.95605999988</v>
          </cell>
          <cell r="P105">
            <v>236933.60623999918</v>
          </cell>
          <cell r="R105">
            <v>-5.4486114626723925</v>
          </cell>
        </row>
        <row r="106">
          <cell r="M106">
            <v>-5500.3940099999309</v>
          </cell>
          <cell r="N106">
            <v>1330.3728600000031</v>
          </cell>
          <cell r="O106">
            <v>5104.4309300000023</v>
          </cell>
          <cell r="P106">
            <v>934.40978000010364</v>
          </cell>
          <cell r="R106">
            <v>-93.608340926004672</v>
          </cell>
        </row>
        <row r="107">
          <cell r="M107">
            <v>1353870.3723700007</v>
          </cell>
          <cell r="N107">
            <v>556806.79279999994</v>
          </cell>
          <cell r="O107">
            <v>507516.22358999983</v>
          </cell>
          <cell r="P107">
            <v>1541571.6464900007</v>
          </cell>
          <cell r="R107">
            <v>7.5910899308848201</v>
          </cell>
        </row>
        <row r="108">
          <cell r="M108">
            <v>232964.02624999941</v>
          </cell>
          <cell r="N108">
            <v>29064.514899999951</v>
          </cell>
          <cell r="O108">
            <v>-24160.525129999907</v>
          </cell>
          <cell r="P108">
            <v>237868.01601999952</v>
          </cell>
          <cell r="R108">
            <v>-10.308319018639889</v>
          </cell>
        </row>
      </sheetData>
      <sheetData sheetId="21"/>
      <sheetData sheetId="22">
        <row r="8">
          <cell r="D8">
            <v>1401117.1141300001</v>
          </cell>
          <cell r="E8">
            <v>1449388.9809300001</v>
          </cell>
          <cell r="F8">
            <v>3.4452413943979021</v>
          </cell>
        </row>
        <row r="9">
          <cell r="D9">
            <v>1139185.2460500002</v>
          </cell>
          <cell r="E9">
            <v>1129356.7888500001</v>
          </cell>
          <cell r="F9">
            <v>-0.86276198134405124</v>
          </cell>
        </row>
        <row r="10">
          <cell r="D10">
            <v>426326.21333</v>
          </cell>
          <cell r="E10">
            <v>411937.75789000001</v>
          </cell>
          <cell r="F10">
            <v>-3.3749872726832608</v>
          </cell>
        </row>
        <row r="11">
          <cell r="D11">
            <v>712859.03272000013</v>
          </cell>
          <cell r="E11">
            <v>717419.03096</v>
          </cell>
          <cell r="F11">
            <v>0.6396774159682872</v>
          </cell>
        </row>
        <row r="12">
          <cell r="D12">
            <v>261931.86807999999</v>
          </cell>
          <cell r="E12">
            <v>320032.19208000001</v>
          </cell>
          <cell r="F12">
            <v>22.181464373115102</v>
          </cell>
        </row>
        <row r="13">
          <cell r="D13">
            <v>143678.50318</v>
          </cell>
          <cell r="E13">
            <v>137445.41769000003</v>
          </cell>
          <cell r="F13">
            <v>-4.3382171668305709</v>
          </cell>
        </row>
        <row r="15">
          <cell r="D15">
            <v>1544795.6173100001</v>
          </cell>
          <cell r="E15">
            <v>1586834.3986200001</v>
          </cell>
          <cell r="F15">
            <v>2.72131671264082</v>
          </cell>
        </row>
        <row r="17">
          <cell r="D17">
            <v>1295693.2647099998</v>
          </cell>
          <cell r="E17">
            <v>1319221.7722899998</v>
          </cell>
          <cell r="F17">
            <v>1.815901048560753</v>
          </cell>
        </row>
        <row r="18">
          <cell r="D18">
            <v>433817.66858999996</v>
          </cell>
          <cell r="E18">
            <v>445575.98682000005</v>
          </cell>
          <cell r="F18">
            <v>2.7104286158323498</v>
          </cell>
        </row>
        <row r="19">
          <cell r="D19">
            <v>157108.30921999991</v>
          </cell>
          <cell r="E19">
            <v>143095.45462000003</v>
          </cell>
          <cell r="F19">
            <v>-8.9192320059772072</v>
          </cell>
        </row>
        <row r="20">
          <cell r="D20">
            <v>118160.18909000001</v>
          </cell>
          <cell r="E20">
            <v>108297.21162</v>
          </cell>
          <cell r="F20">
            <v>-8.3471239729377871</v>
          </cell>
        </row>
        <row r="21">
          <cell r="D21">
            <v>557297.72777000011</v>
          </cell>
          <cell r="E21">
            <v>616094.00655999989</v>
          </cell>
          <cell r="F21">
            <v>10.550245561787985</v>
          </cell>
        </row>
        <row r="22">
          <cell r="D22">
            <v>483373.3756400001</v>
          </cell>
          <cell r="E22">
            <v>533555.33739999984</v>
          </cell>
          <cell r="F22">
            <v>10.381614770064118</v>
          </cell>
        </row>
        <row r="23">
          <cell r="D23">
            <v>73924.35212999997</v>
          </cell>
          <cell r="E23">
            <v>82538.669160000049</v>
          </cell>
          <cell r="F23">
            <v>11.652881333138154</v>
          </cell>
        </row>
        <row r="24">
          <cell r="D24">
            <v>28402.098770000001</v>
          </cell>
          <cell r="E24">
            <v>5367.6739299999999</v>
          </cell>
          <cell r="F24">
            <v>-81.101136315779385</v>
          </cell>
        </row>
        <row r="25">
          <cell r="D25">
            <v>907.2712700000003</v>
          </cell>
          <cell r="E25">
            <v>791.43873999999994</v>
          </cell>
          <cell r="F25">
            <v>-12.767133031777844</v>
          </cell>
        </row>
        <row r="26">
          <cell r="D26">
            <v>132340.94716000001</v>
          </cell>
          <cell r="E26">
            <v>142945.81169999993</v>
          </cell>
          <cell r="F26">
            <v>8.0132904951773156</v>
          </cell>
        </row>
        <row r="27">
          <cell r="D27">
            <v>92478.822480000017</v>
          </cell>
          <cell r="E27">
            <v>65671.841389999943</v>
          </cell>
          <cell r="F27">
            <v>-28.987156595551923</v>
          </cell>
        </row>
        <row r="28">
          <cell r="D28">
            <v>39862.124680000001</v>
          </cell>
          <cell r="E28">
            <v>77273.97030999999</v>
          </cell>
          <cell r="F28">
            <v>93.853114780835085</v>
          </cell>
        </row>
        <row r="29">
          <cell r="D29">
            <v>29682.541940000003</v>
          </cell>
          <cell r="E29">
            <v>61159.190409999988</v>
          </cell>
          <cell r="F29">
            <v>106.04431565742102</v>
          </cell>
        </row>
        <row r="30">
          <cell r="D30">
            <v>10179.58274</v>
          </cell>
          <cell r="E30">
            <v>16114.7799</v>
          </cell>
          <cell r="F30">
            <v>58.304915943931903</v>
          </cell>
        </row>
        <row r="33">
          <cell r="D33">
            <v>1428034.2118699998</v>
          </cell>
          <cell r="E33">
            <v>1462167.5839899997</v>
          </cell>
          <cell r="F33">
            <v>2.3902349002761225</v>
          </cell>
        </row>
        <row r="35">
          <cell r="D35">
            <v>116761.40544000032</v>
          </cell>
          <cell r="E35">
            <v>124666.81463000042</v>
          </cell>
          <cell r="F35">
            <v>6.7705670038910259</v>
          </cell>
        </row>
        <row r="37">
          <cell r="D37">
            <v>105423.84942000033</v>
          </cell>
          <cell r="E37">
            <v>130167.20864000032</v>
          </cell>
          <cell r="F37">
            <v>23.470362120267851</v>
          </cell>
        </row>
        <row r="38">
          <cell r="D38">
            <v>11337.556019999989</v>
          </cell>
          <cell r="E38">
            <v>-5500.3940099999018</v>
          </cell>
          <cell r="F38">
            <v>-148.51481218965486</v>
          </cell>
        </row>
        <row r="39">
          <cell r="D39">
            <v>234921.59453000035</v>
          </cell>
          <cell r="E39">
            <v>232964.0262500004</v>
          </cell>
          <cell r="F39">
            <v>-0.83328579644471601</v>
          </cell>
        </row>
        <row r="40">
          <cell r="D40">
            <v>14258.04883</v>
          </cell>
          <cell r="E40">
            <v>52583.772969999998</v>
          </cell>
          <cell r="F40">
            <v>268.80062340198896</v>
          </cell>
        </row>
        <row r="54">
          <cell r="D54">
            <v>2024</v>
          </cell>
          <cell r="E54">
            <v>2025</v>
          </cell>
          <cell r="F54" t="str">
            <v>VH (%)</v>
          </cell>
        </row>
        <row r="56">
          <cell r="D56">
            <v>107425.92098000027</v>
          </cell>
          <cell r="E56">
            <v>95513.641479999947</v>
          </cell>
          <cell r="F56">
            <v>-11.088831625858775</v>
          </cell>
        </row>
        <row r="57">
          <cell r="D57">
            <v>94505.06516000026</v>
          </cell>
          <cell r="E57">
            <v>77653.010839999915</v>
          </cell>
          <cell r="F57">
            <v>-17.831905931675983</v>
          </cell>
        </row>
        <row r="58">
          <cell r="D58">
            <v>24682.636949999989</v>
          </cell>
          <cell r="E58">
            <v>10488.568689999938</v>
          </cell>
          <cell r="F58">
            <v>-57.506287876587912</v>
          </cell>
        </row>
        <row r="59">
          <cell r="D59">
            <v>69822.428210000275</v>
          </cell>
          <cell r="E59">
            <v>67164.442149999973</v>
          </cell>
          <cell r="F59">
            <v>-3.8067797527838065</v>
          </cell>
        </row>
        <row r="60">
          <cell r="D60">
            <v>12920.855820000012</v>
          </cell>
          <cell r="E60">
            <v>17860.630640000025</v>
          </cell>
          <cell r="F60">
            <v>38.231018818070893</v>
          </cell>
        </row>
        <row r="61">
          <cell r="D61">
            <v>16673.724740000016</v>
          </cell>
          <cell r="E61">
            <v>2486.8057099999937</v>
          </cell>
          <cell r="F61">
            <v>-85.085481805788817</v>
          </cell>
        </row>
        <row r="63">
          <cell r="D63">
            <v>124099.64572000029</v>
          </cell>
          <cell r="E63">
            <v>98000.447189999948</v>
          </cell>
          <cell r="F63">
            <v>-21.030840481919377</v>
          </cell>
        </row>
        <row r="65">
          <cell r="D65">
            <v>187897.87553000063</v>
          </cell>
          <cell r="E65">
            <v>159699.60641000012</v>
          </cell>
          <cell r="F65">
            <v>-15.007231476386885</v>
          </cell>
        </row>
        <row r="66">
          <cell r="D66">
            <v>58331.666890000823</v>
          </cell>
          <cell r="E66">
            <v>61086.092849999128</v>
          </cell>
          <cell r="F66">
            <v>4.7220079707176454</v>
          </cell>
        </row>
        <row r="67">
          <cell r="D67">
            <v>15434.443829999804</v>
          </cell>
          <cell r="E67">
            <v>11716.001499999926</v>
          </cell>
          <cell r="F67">
            <v>-24.091845297155256</v>
          </cell>
        </row>
        <row r="68">
          <cell r="D68">
            <v>24322.523270000027</v>
          </cell>
          <cell r="E68">
            <v>19656.887729999988</v>
          </cell>
          <cell r="F68">
            <v>-19.182366435454266</v>
          </cell>
        </row>
        <row r="69">
          <cell r="D69">
            <v>85655.313139999984</v>
          </cell>
          <cell r="E69">
            <v>63844.836360001085</v>
          </cell>
          <cell r="F69">
            <v>-25.463075179411931</v>
          </cell>
        </row>
        <row r="70">
          <cell r="D70">
            <v>4077.2053800000026</v>
          </cell>
          <cell r="E70">
            <v>3336.2865399999996</v>
          </cell>
          <cell r="F70">
            <v>-18.172222661003225</v>
          </cell>
        </row>
        <row r="71">
          <cell r="D71">
            <v>76.723019999999792</v>
          </cell>
          <cell r="E71">
            <v>59.501429999999935</v>
          </cell>
          <cell r="F71">
            <v>-22.446444365719575</v>
          </cell>
        </row>
        <row r="72">
          <cell r="D72">
            <v>17598.831349999975</v>
          </cell>
          <cell r="E72">
            <v>24911.233670000023</v>
          </cell>
          <cell r="F72">
            <v>41.550499431316254</v>
          </cell>
        </row>
        <row r="73">
          <cell r="D73">
            <v>8309.734439999982</v>
          </cell>
          <cell r="E73">
            <v>11880.848040000013</v>
          </cell>
          <cell r="F73">
            <v>42.975062870962688</v>
          </cell>
        </row>
        <row r="74">
          <cell r="D74">
            <v>9289.0969099999929</v>
          </cell>
          <cell r="E74">
            <v>13030.38563000001</v>
          </cell>
          <cell r="F74">
            <v>40.276129706133304</v>
          </cell>
        </row>
        <row r="79">
          <cell r="D79">
            <v>205496.70688000059</v>
          </cell>
          <cell r="E79">
            <v>184610.84008000014</v>
          </cell>
          <cell r="F79">
            <v>-10.16360170296876</v>
          </cell>
        </row>
        <row r="81">
          <cell r="D81">
            <v>-81397.061160000303</v>
          </cell>
          <cell r="E81">
            <v>-86610.392890000192</v>
          </cell>
          <cell r="F81">
            <v>-6.404815672340014</v>
          </cell>
        </row>
        <row r="83">
          <cell r="D83">
            <v>-80471.954550000359</v>
          </cell>
          <cell r="E83">
            <v>-64185.964930000177</v>
          </cell>
          <cell r="F83">
            <v>20.238093769526955</v>
          </cell>
        </row>
        <row r="84">
          <cell r="D84">
            <v>-925.10660999995889</v>
          </cell>
          <cell r="E84">
            <v>-22424.42796000003</v>
          </cell>
          <cell r="F84">
            <v>-2323.9831082820851</v>
          </cell>
        </row>
        <row r="85">
          <cell r="D85">
            <v>-57074.537890000276</v>
          </cell>
          <cell r="E85">
            <v>-66953.505160000204</v>
          </cell>
          <cell r="F85">
            <v>-17.308887001485076</v>
          </cell>
        </row>
      </sheetData>
      <sheetData sheetId="23">
        <row r="167">
          <cell r="E167">
            <v>1139185.2460500002</v>
          </cell>
          <cell r="F167">
            <v>1129356.7888500001</v>
          </cell>
          <cell r="G167">
            <v>-8.6276198134405124E-3</v>
          </cell>
          <cell r="H167">
            <v>0.93198124219021172</v>
          </cell>
        </row>
        <row r="169">
          <cell r="E169">
            <v>426326.21333</v>
          </cell>
          <cell r="F169">
            <v>411937.75789000001</v>
          </cell>
          <cell r="G169">
            <v>-3.3749872726832608E-2</v>
          </cell>
          <cell r="H169">
            <v>0.98080277029409801</v>
          </cell>
        </row>
        <row r="170">
          <cell r="E170">
            <v>219834.00641</v>
          </cell>
          <cell r="F170">
            <v>228891.66081</v>
          </cell>
          <cell r="G170">
            <v>4.1202244129177501E-2</v>
          </cell>
          <cell r="H170">
            <v>0.98010601677917852</v>
          </cell>
        </row>
        <row r="171">
          <cell r="E171">
            <v>206492.20692</v>
          </cell>
          <cell r="F171">
            <v>183046.09708000001</v>
          </cell>
          <cell r="G171">
            <v>-0.11354476853978113</v>
          </cell>
          <cell r="H171">
            <v>0.98167542720054879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E173">
            <v>712859.03272000013</v>
          </cell>
          <cell r="F173">
            <v>717419.03096</v>
          </cell>
          <cell r="G173">
            <v>6.396774159682872E-3</v>
          </cell>
          <cell r="H173">
            <v>0.90608380660853127</v>
          </cell>
        </row>
        <row r="174">
          <cell r="E174">
            <v>34545.989719999998</v>
          </cell>
          <cell r="F174">
            <v>48170.856469999999</v>
          </cell>
          <cell r="G174">
            <v>0.3943979275288223</v>
          </cell>
          <cell r="H174">
            <v>0.94321482605524609</v>
          </cell>
        </row>
        <row r="175">
          <cell r="E175">
            <v>570101.5167700001</v>
          </cell>
          <cell r="F175">
            <v>550810.00656999997</v>
          </cell>
          <cell r="G175">
            <v>-3.3838728073026791E-2</v>
          </cell>
          <cell r="H175">
            <v>0.92264974485747353</v>
          </cell>
        </row>
        <row r="176">
          <cell r="E176">
            <v>6020.0795199999993</v>
          </cell>
          <cell r="F176">
            <v>6016.7012599999998</v>
          </cell>
          <cell r="G176">
            <v>-5.6116534487227199E-4</v>
          </cell>
          <cell r="H176">
            <v>0.82550361513623749</v>
          </cell>
        </row>
        <row r="177">
          <cell r="E177">
            <v>35087.512189999994</v>
          </cell>
          <cell r="F177">
            <v>40381.524679999995</v>
          </cell>
          <cell r="G177">
            <v>0.1508802465484802</v>
          </cell>
          <cell r="H177">
            <v>0.79000870170141435</v>
          </cell>
        </row>
        <row r="178">
          <cell r="E178">
            <v>10122.663349999999</v>
          </cell>
          <cell r="F178">
            <v>9385.6253100000013</v>
          </cell>
          <cell r="G178">
            <v>-7.2810683761403316E-2</v>
          </cell>
          <cell r="H178">
            <v>0.73531580199237345</v>
          </cell>
        </row>
        <row r="179">
          <cell r="E179">
            <v>56981.27117</v>
          </cell>
          <cell r="F179">
            <v>62654.31667</v>
          </cell>
          <cell r="G179">
            <v>9.9559827001311163E-2</v>
          </cell>
          <cell r="H179">
            <v>0.86355347481761435</v>
          </cell>
        </row>
        <row r="180">
          <cell r="E180">
            <v>32850.388930000001</v>
          </cell>
          <cell r="F180">
            <v>36183.380599999997</v>
          </cell>
          <cell r="G180">
            <v>0.10145973239775574</v>
          </cell>
          <cell r="H180">
            <v>0.87577162842482326</v>
          </cell>
        </row>
        <row r="181">
          <cell r="E181">
            <v>7352.0197199999993</v>
          </cell>
          <cell r="F181">
            <v>7218.9980399999995</v>
          </cell>
          <cell r="G181">
            <v>-1.809321588707602E-2</v>
          </cell>
          <cell r="H181">
            <v>0.78842729953474133</v>
          </cell>
        </row>
        <row r="183">
          <cell r="E183">
            <v>405610.37125999999</v>
          </cell>
          <cell r="F183">
            <v>457477.60977000004</v>
          </cell>
          <cell r="G183">
            <v>0.12787453720396291</v>
          </cell>
          <cell r="H183">
            <v>0.63821660580149253</v>
          </cell>
        </row>
        <row r="185">
          <cell r="E185">
            <v>1544795.6173100001</v>
          </cell>
          <cell r="F185">
            <v>1586834.3986200001</v>
          </cell>
          <cell r="G185">
            <v>2.72131671264082E-2</v>
          </cell>
          <cell r="H185">
            <v>0.82279647034022196</v>
          </cell>
        </row>
        <row r="199">
          <cell r="E199">
            <v>1139185.2460500002</v>
          </cell>
          <cell r="F199">
            <v>1129356.7888500001</v>
          </cell>
          <cell r="G199">
            <v>-8.6276198134405124E-3</v>
          </cell>
          <cell r="H199">
            <v>0.93198124219021172</v>
          </cell>
        </row>
        <row r="201">
          <cell r="E201">
            <v>405610.37125999999</v>
          </cell>
          <cell r="F201">
            <v>457477.60977000004</v>
          </cell>
          <cell r="G201">
            <v>0.12787453720396291</v>
          </cell>
          <cell r="H201">
            <v>0.63821660580149253</v>
          </cell>
        </row>
        <row r="202">
          <cell r="E202">
            <v>261931.86807999999</v>
          </cell>
          <cell r="F202">
            <v>320032.19208000001</v>
          </cell>
          <cell r="G202">
            <v>0.22181464373115101</v>
          </cell>
          <cell r="H202">
            <v>0.75958320298693527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E204">
            <v>29082.185029999997</v>
          </cell>
          <cell r="F204">
            <v>24075.848770000001</v>
          </cell>
          <cell r="G204">
            <v>-0.17214443326165707</v>
          </cell>
          <cell r="H204">
            <v>0.44945386270927729</v>
          </cell>
        </row>
        <row r="205">
          <cell r="E205">
            <v>4852.3511099999996</v>
          </cell>
          <cell r="F205">
            <v>5045.5168300000005</v>
          </cell>
          <cell r="G205">
            <v>3.9808685649707742E-2</v>
          </cell>
          <cell r="H205">
            <v>0.99023153343578119</v>
          </cell>
        </row>
        <row r="206">
          <cell r="E206">
            <v>215662.24630999999</v>
          </cell>
          <cell r="F206">
            <v>271953.63123</v>
          </cell>
          <cell r="G206">
            <v>0.26101640821771332</v>
          </cell>
          <cell r="H206">
            <v>0.78939863781947561</v>
          </cell>
        </row>
        <row r="207">
          <cell r="E207">
            <v>10431.80464</v>
          </cell>
          <cell r="F207">
            <v>10510.051910000002</v>
          </cell>
          <cell r="G207">
            <v>7.5008373623071112E-3</v>
          </cell>
          <cell r="H207">
            <v>0.61497892317897962</v>
          </cell>
        </row>
        <row r="208">
          <cell r="E208">
            <v>1903.2809899999997</v>
          </cell>
          <cell r="F208">
            <v>8447.1433399999987</v>
          </cell>
          <cell r="G208">
            <v>3.4382008670196402</v>
          </cell>
          <cell r="H208">
            <v>7.921058329957539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1">
          <cell r="E211">
            <v>143678.50318</v>
          </cell>
          <cell r="F211">
            <v>137445.41769000003</v>
          </cell>
          <cell r="G211">
            <v>-4.3382171668305713E-2</v>
          </cell>
          <cell r="H211">
            <v>0.4651595921515293</v>
          </cell>
        </row>
        <row r="212">
          <cell r="E212">
            <v>1561.5444399999997</v>
          </cell>
          <cell r="F212">
            <v>5958.7262199999996</v>
          </cell>
          <cell r="G212">
            <v>2.8159184377743363</v>
          </cell>
          <cell r="H212">
            <v>1.2259860536907392</v>
          </cell>
        </row>
        <row r="213">
          <cell r="E213">
            <v>135231.11194</v>
          </cell>
          <cell r="F213">
            <v>128228.80903</v>
          </cell>
          <cell r="G213">
            <v>-5.1780265721003693E-2</v>
          </cell>
          <cell r="H213">
            <v>0.45638266780409265</v>
          </cell>
        </row>
        <row r="214">
          <cell r="E214">
            <v>20.318390000000001</v>
          </cell>
          <cell r="F214">
            <v>14.765610000000001</v>
          </cell>
          <cell r="G214">
            <v>-0.27328838554629575</v>
          </cell>
          <cell r="H214">
            <v>0.65997452286237879</v>
          </cell>
        </row>
        <row r="216">
          <cell r="E216">
            <v>6865.5284099999999</v>
          </cell>
          <cell r="F216">
            <v>3243.1168299999995</v>
          </cell>
          <cell r="G216">
            <v>-0.52762312871996409</v>
          </cell>
          <cell r="H216">
            <v>0.33678414710384369</v>
          </cell>
        </row>
        <row r="218">
          <cell r="E218">
            <v>1544795.6173100001</v>
          </cell>
          <cell r="F218">
            <v>1586834.3986200001</v>
          </cell>
          <cell r="G218">
            <v>2.72131671264082E-2</v>
          </cell>
          <cell r="H218">
            <v>0.82279647034022196</v>
          </cell>
        </row>
      </sheetData>
      <sheetData sheetId="24">
        <row r="8">
          <cell r="F8">
            <v>1295693.2647099998</v>
          </cell>
          <cell r="H8">
            <v>1319221.7722899998</v>
          </cell>
          <cell r="I8">
            <v>80.766543894191202</v>
          </cell>
          <cell r="J8">
            <v>78.629351117083772</v>
          </cell>
          <cell r="L8">
            <v>1.8159010485607556</v>
          </cell>
        </row>
        <row r="9">
          <cell r="F9">
            <v>433817.66858999996</v>
          </cell>
          <cell r="H9">
            <v>445575.98682000005</v>
          </cell>
          <cell r="I9">
            <v>88.942524165579115</v>
          </cell>
          <cell r="J9">
            <v>88.373712925973251</v>
          </cell>
          <cell r="L9">
            <v>2.7104286158323463</v>
          </cell>
        </row>
        <row r="10">
          <cell r="F10">
            <v>348921.57293000031</v>
          </cell>
          <cell r="H10">
            <v>358273.86333000014</v>
          </cell>
          <cell r="I10">
            <v>90.971649865923226</v>
          </cell>
          <cell r="J10">
            <v>90.992296453834797</v>
          </cell>
          <cell r="L10">
            <v>2.680341694400207</v>
          </cell>
        </row>
        <row r="11">
          <cell r="F11">
            <v>12920.546969999998</v>
          </cell>
          <cell r="H11">
            <v>13287.618759999996</v>
          </cell>
          <cell r="I11">
            <v>89.684087086225574</v>
          </cell>
          <cell r="J11">
            <v>89.897680000947148</v>
          </cell>
          <cell r="L11">
            <v>2.8409926518768596</v>
          </cell>
        </row>
        <row r="12">
          <cell r="F12">
            <v>71975.548689999952</v>
          </cell>
          <cell r="H12">
            <v>74014.504729999942</v>
          </cell>
          <cell r="I12">
            <v>80.156259681181936</v>
          </cell>
          <cell r="J12">
            <v>77.361580590814754</v>
          </cell>
          <cell r="L12">
            <v>2.8328454275240222</v>
          </cell>
        </row>
        <row r="13">
          <cell r="F13">
            <v>157108.30921999991</v>
          </cell>
          <cell r="H13">
            <v>143095.45462000003</v>
          </cell>
          <cell r="I13">
            <v>69.660322714550475</v>
          </cell>
          <cell r="J13">
            <v>66.842000041377034</v>
          </cell>
          <cell r="L13">
            <v>-8.919232005977209</v>
          </cell>
        </row>
        <row r="14">
          <cell r="F14">
            <v>118160.18909000001</v>
          </cell>
          <cell r="H14">
            <v>108297.21162</v>
          </cell>
          <cell r="I14">
            <v>86.100112913675915</v>
          </cell>
          <cell r="J14">
            <v>86.385287216100863</v>
          </cell>
          <cell r="L14">
            <v>-8.3471239729377888</v>
          </cell>
        </row>
        <row r="15">
          <cell r="F15">
            <v>557297.72777000011</v>
          </cell>
          <cell r="H15">
            <v>616094.00655999989</v>
          </cell>
          <cell r="I15">
            <v>80.019986292820562</v>
          </cell>
          <cell r="J15">
            <v>75.285710714727458</v>
          </cell>
          <cell r="L15">
            <v>10.550245561787994</v>
          </cell>
        </row>
        <row r="16">
          <cell r="F16">
            <v>483373.3756400001</v>
          </cell>
          <cell r="H16">
            <v>533555.33739999984</v>
          </cell>
          <cell r="I16">
            <v>84.862674138616981</v>
          </cell>
          <cell r="J16">
            <v>78.404765573697759</v>
          </cell>
          <cell r="L16">
            <v>10.381614770064115</v>
          </cell>
        </row>
        <row r="17">
          <cell r="F17">
            <v>117.78400000000001</v>
          </cell>
          <cell r="H17">
            <v>50</v>
          </cell>
          <cell r="I17">
            <v>16.558627331069921</v>
          </cell>
          <cell r="J17">
            <v>13.579170638574078</v>
          </cell>
          <cell r="L17">
            <v>-57.549412483868778</v>
          </cell>
        </row>
        <row r="18">
          <cell r="F18">
            <v>483255.59164000012</v>
          </cell>
          <cell r="H18">
            <v>533505.33739999984</v>
          </cell>
          <cell r="I18">
            <v>84.948079489057989</v>
          </cell>
          <cell r="J18">
            <v>78.439860255765964</v>
          </cell>
          <cell r="L18">
            <v>10.398171615452952</v>
          </cell>
        </row>
        <row r="19"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 t="str">
            <v>-</v>
          </cell>
        </row>
        <row r="20"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 t="str">
            <v>-</v>
          </cell>
        </row>
        <row r="21">
          <cell r="F21">
            <v>73924.35212999997</v>
          </cell>
          <cell r="H21">
            <v>82538.669160000049</v>
          </cell>
          <cell r="I21">
            <v>58.275433713148985</v>
          </cell>
          <cell r="J21">
            <v>59.885568369787293</v>
          </cell>
          <cell r="L21">
            <v>11.652881333138145</v>
          </cell>
        </row>
        <row r="27">
          <cell r="F27">
            <v>28402.098770000001</v>
          </cell>
          <cell r="H27">
            <v>5367.6739299999999</v>
          </cell>
          <cell r="I27">
            <v>56.098771199818231</v>
          </cell>
          <cell r="J27">
            <v>37.420705741053062</v>
          </cell>
          <cell r="L27">
            <v>-81.101136315779385</v>
          </cell>
        </row>
        <row r="28">
          <cell r="F28">
            <v>907.2712700000003</v>
          </cell>
          <cell r="H28">
            <v>791.43873999999994</v>
          </cell>
          <cell r="I28">
            <v>13.649568685245997</v>
          </cell>
          <cell r="J28">
            <v>54.70758313396756</v>
          </cell>
          <cell r="L28">
            <v>-12.767133031777842</v>
          </cell>
        </row>
        <row r="30">
          <cell r="F30">
            <v>1177533.0756199998</v>
          </cell>
          <cell r="H30">
            <v>1210924.5606699998</v>
          </cell>
          <cell r="I30">
            <v>80.267599056446542</v>
          </cell>
          <cell r="J30">
            <v>78.003017058013924</v>
          </cell>
          <cell r="L30">
            <v>2.8357152543183202</v>
          </cell>
        </row>
        <row r="32">
          <cell r="F32">
            <v>132340.94716000001</v>
          </cell>
          <cell r="H32">
            <v>142945.81169999993</v>
          </cell>
          <cell r="I32">
            <v>42.005307059913861</v>
          </cell>
          <cell r="J32">
            <v>41.383309478970588</v>
          </cell>
          <cell r="L32">
            <v>8.0132904951773227</v>
          </cell>
        </row>
        <row r="33">
          <cell r="F33">
            <v>92478.822480000017</v>
          </cell>
          <cell r="H33">
            <v>65671.841389999943</v>
          </cell>
          <cell r="I33">
            <v>48.082134273742021</v>
          </cell>
          <cell r="J33">
            <v>40.363193523031626</v>
          </cell>
          <cell r="L33">
            <v>-28.987156595551916</v>
          </cell>
        </row>
        <row r="34">
          <cell r="F34">
            <v>39862.124680000001</v>
          </cell>
          <cell r="H34">
            <v>77273.97030999999</v>
          </cell>
          <cell r="I34">
            <v>33.019609653802959</v>
          </cell>
          <cell r="J34">
            <v>42.291684046486345</v>
          </cell>
          <cell r="L34">
            <v>93.853114780835085</v>
          </cell>
        </row>
        <row r="35">
          <cell r="F35">
            <v>29682.541940000003</v>
          </cell>
          <cell r="H35">
            <v>61159.190409999988</v>
          </cell>
          <cell r="I35">
            <v>35.431942178112443</v>
          </cell>
          <cell r="J35">
            <v>55.875787184325709</v>
          </cell>
          <cell r="L35">
            <v>106.04431565742102</v>
          </cell>
        </row>
        <row r="36">
          <cell r="F36">
            <v>10137.75088</v>
          </cell>
          <cell r="H36">
            <v>9913.973</v>
          </cell>
          <cell r="I36">
            <v>94.04626395792917</v>
          </cell>
          <cell r="J36">
            <v>52.227294182599003</v>
          </cell>
          <cell r="L36">
            <v>-2.2073720556842056</v>
          </cell>
        </row>
        <row r="37">
          <cell r="F37">
            <v>18290.456780000004</v>
          </cell>
          <cell r="H37">
            <v>44136.868849999992</v>
          </cell>
          <cell r="I37">
            <v>27.106226470763943</v>
          </cell>
          <cell r="J37">
            <v>54.283108053112464</v>
          </cell>
          <cell r="L37">
            <v>141.31091629303739</v>
          </cell>
        </row>
        <row r="38">
          <cell r="F38">
            <v>1254.33428</v>
          </cell>
          <cell r="H38">
            <v>7108.3485599999995</v>
          </cell>
          <cell r="I38">
            <v>22.736195022390273</v>
          </cell>
          <cell r="J38">
            <v>77.56310760971563</v>
          </cell>
          <cell r="L38">
            <v>466.7028856135542</v>
          </cell>
        </row>
        <row r="46"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</row>
        <row r="48">
          <cell r="F48">
            <v>1428034.2118699998</v>
          </cell>
          <cell r="H48">
            <v>1462167.5839899997</v>
          </cell>
          <cell r="I48">
            <v>74.403803198191795</v>
          </cell>
          <cell r="J48">
            <v>72.270343998291537</v>
          </cell>
          <cell r="L48">
            <v>2.3902349002761332</v>
          </cell>
        </row>
        <row r="51">
          <cell r="F51">
            <v>14258.04883</v>
          </cell>
          <cell r="H51">
            <v>52583.772969999998</v>
          </cell>
          <cell r="I51">
            <v>72.29086905769239</v>
          </cell>
          <cell r="J51">
            <v>85.650459639416582</v>
          </cell>
          <cell r="L51">
            <v>268.80062340198896</v>
          </cell>
        </row>
        <row r="52">
          <cell r="F52">
            <v>233330.28303999998</v>
          </cell>
          <cell r="H52">
            <v>436527.09748</v>
          </cell>
          <cell r="I52">
            <v>88.60996248882384</v>
          </cell>
          <cell r="J52">
            <v>94.137366577893062</v>
          </cell>
          <cell r="L52">
            <v>87.085487486922503</v>
          </cell>
        </row>
      </sheetData>
      <sheetData sheetId="25">
        <row r="8">
          <cell r="D8">
            <v>211326.18844999984</v>
          </cell>
          <cell r="E8">
            <v>208448.87203000012</v>
          </cell>
          <cell r="F8">
            <v>14.256154650972331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11890.090489999999</v>
          </cell>
          <cell r="E10">
            <v>15032.190930000001</v>
          </cell>
          <cell r="F10">
            <v>1.0280757893004149</v>
          </cell>
        </row>
        <row r="11">
          <cell r="D11">
            <v>229468.25195000001</v>
          </cell>
          <cell r="E11">
            <v>229916.87806999992</v>
          </cell>
          <cell r="F11">
            <v>15.724386218616399</v>
          </cell>
        </row>
        <row r="12">
          <cell r="D12">
            <v>22818.358180000007</v>
          </cell>
          <cell r="E12">
            <v>9699.1728899999998</v>
          </cell>
          <cell r="F12">
            <v>0.66334208172859721</v>
          </cell>
        </row>
        <row r="13">
          <cell r="D13">
            <v>71189.100969999985</v>
          </cell>
          <cell r="E13">
            <v>77347.705990000002</v>
          </cell>
          <cell r="F13">
            <v>5.2899343985544824</v>
          </cell>
        </row>
        <row r="14">
          <cell r="D14">
            <v>416889.03103000001</v>
          </cell>
          <cell r="E14">
            <v>436258.81602000009</v>
          </cell>
          <cell r="F14">
            <v>29.836444248717779</v>
          </cell>
        </row>
        <row r="15">
          <cell r="D15">
            <v>29060.762479999998</v>
          </cell>
          <cell r="E15">
            <v>34673.54362999992</v>
          </cell>
          <cell r="F15">
            <v>2.3713795880621205</v>
          </cell>
        </row>
        <row r="16">
          <cell r="D16">
            <v>406329.73172999889</v>
          </cell>
          <cell r="E16">
            <v>417577.29817999981</v>
          </cell>
          <cell r="F16">
            <v>28.55878510454351</v>
          </cell>
        </row>
        <row r="17">
          <cell r="D17">
            <v>29062.696589999996</v>
          </cell>
          <cell r="E17">
            <v>33213.106249999997</v>
          </cell>
          <cell r="F17">
            <v>2.271497919504359</v>
          </cell>
        </row>
        <row r="19">
          <cell r="D19">
            <v>1428034.2118699988</v>
          </cell>
          <cell r="E19">
            <v>1462167.58399</v>
          </cell>
          <cell r="F19">
            <v>100</v>
          </cell>
        </row>
        <row r="22">
          <cell r="D22">
            <v>14258.04883</v>
          </cell>
          <cell r="E22">
            <v>52583.772969999998</v>
          </cell>
          <cell r="F22">
            <v>3.5962890673932235</v>
          </cell>
        </row>
        <row r="23">
          <cell r="D23">
            <v>233330.28303999998</v>
          </cell>
          <cell r="E23">
            <v>436527.09748</v>
          </cell>
          <cell r="F23">
            <v>29.854792450588587</v>
          </cell>
        </row>
      </sheetData>
      <sheetData sheetId="26">
        <row r="9">
          <cell r="D9">
            <v>13220</v>
          </cell>
          <cell r="E9">
            <v>2361.8271699999996</v>
          </cell>
          <cell r="F9">
            <v>439441.86005000002</v>
          </cell>
          <cell r="G9">
            <v>45568.686920000007</v>
          </cell>
          <cell r="H9">
            <v>11947.301749999999</v>
          </cell>
          <cell r="I9">
            <v>442788.15927000006</v>
          </cell>
          <cell r="J9">
            <v>179788.48958000005</v>
          </cell>
          <cell r="K9">
            <v>35921.070430000014</v>
          </cell>
          <cell r="L9">
            <v>23384.652740000001</v>
          </cell>
          <cell r="M9">
            <v>124799.72438</v>
          </cell>
          <cell r="N9">
            <v>1319221.77229</v>
          </cell>
        </row>
        <row r="10">
          <cell r="D10">
            <v>0</v>
          </cell>
          <cell r="E10">
            <v>1832.0262699999998</v>
          </cell>
          <cell r="F10">
            <v>339361.07511000003</v>
          </cell>
          <cell r="G10">
            <v>17248.935780000003</v>
          </cell>
          <cell r="H10">
            <v>3502.7874899999988</v>
          </cell>
          <cell r="I10">
            <v>5315.2823399999997</v>
          </cell>
          <cell r="J10">
            <v>31406.360530000031</v>
          </cell>
          <cell r="K10">
            <v>22689.90241000001</v>
          </cell>
          <cell r="L10">
            <v>7672.3616400000001</v>
          </cell>
          <cell r="M10">
            <v>16547.255249999991</v>
          </cell>
          <cell r="N10">
            <v>445575.98682000005</v>
          </cell>
        </row>
        <row r="11">
          <cell r="D11">
            <v>0</v>
          </cell>
          <cell r="E11">
            <v>1423.2148099999999</v>
          </cell>
          <cell r="F11">
            <v>274941.60442000005</v>
          </cell>
          <cell r="G11">
            <v>14009.368270000006</v>
          </cell>
          <cell r="H11">
            <v>2890.2725099999989</v>
          </cell>
          <cell r="I11">
            <v>4294.5251199999993</v>
          </cell>
          <cell r="J11">
            <v>23440.826280000027</v>
          </cell>
          <cell r="K11">
            <v>17871.635810000011</v>
          </cell>
          <cell r="L11">
            <v>6170.5196000000005</v>
          </cell>
          <cell r="M11">
            <v>13231.896509999991</v>
          </cell>
          <cell r="N11">
            <v>358273.86333000002</v>
          </cell>
        </row>
        <row r="12">
          <cell r="D12">
            <v>0</v>
          </cell>
          <cell r="E12">
            <v>45.33811</v>
          </cell>
          <cell r="F12">
            <v>7986.141279999998</v>
          </cell>
          <cell r="G12">
            <v>440.76961</v>
          </cell>
          <cell r="H12">
            <v>56.950180000000003</v>
          </cell>
          <cell r="I12">
            <v>106.66267999999998</v>
          </cell>
          <cell r="J12">
            <v>2814.2880900000005</v>
          </cell>
          <cell r="K12">
            <v>1017.4877300000001</v>
          </cell>
          <cell r="L12">
            <v>259.52639999999997</v>
          </cell>
          <cell r="M12">
            <v>560.45467999999994</v>
          </cell>
          <cell r="N12">
            <v>13287.618759999999</v>
          </cell>
        </row>
        <row r="13">
          <cell r="D13">
            <v>0</v>
          </cell>
          <cell r="E13">
            <v>363.47334999999998</v>
          </cell>
          <cell r="F13">
            <v>56433.329409999984</v>
          </cell>
          <cell r="G13">
            <v>2798.7978999999991</v>
          </cell>
          <cell r="H13">
            <v>555.56479999999999</v>
          </cell>
          <cell r="I13">
            <v>914.09453999999994</v>
          </cell>
          <cell r="J13">
            <v>5151.2461600000015</v>
          </cell>
          <cell r="K13">
            <v>3800.7788699999996</v>
          </cell>
          <cell r="L13">
            <v>1242.3156399999998</v>
          </cell>
          <cell r="M13">
            <v>2754.9040599999989</v>
          </cell>
          <cell r="N13">
            <v>74014.504729999971</v>
          </cell>
        </row>
        <row r="14">
          <cell r="D14">
            <v>0</v>
          </cell>
          <cell r="E14">
            <v>508.19193999999993</v>
          </cell>
          <cell r="F14">
            <v>24015.645669999991</v>
          </cell>
          <cell r="G14">
            <v>8016.1622299999999</v>
          </cell>
          <cell r="H14">
            <v>898.89787000000001</v>
          </cell>
          <cell r="I14">
            <v>708.42198999999994</v>
          </cell>
          <cell r="J14">
            <v>32415.793030000012</v>
          </cell>
          <cell r="K14">
            <v>2090.96009</v>
          </cell>
          <cell r="L14">
            <v>739.56169</v>
          </cell>
          <cell r="M14">
            <v>73701.820110000001</v>
          </cell>
          <cell r="N14">
            <v>143095.45462</v>
          </cell>
        </row>
        <row r="15">
          <cell r="D15">
            <v>0</v>
          </cell>
          <cell r="E15">
            <v>65.282169999999994</v>
          </cell>
          <cell r="F15">
            <v>17601.745089999986</v>
          </cell>
          <cell r="G15">
            <v>224.34776000000008</v>
          </cell>
          <cell r="H15">
            <v>11.519159999999999</v>
          </cell>
          <cell r="I15">
            <v>77.39212000000002</v>
          </cell>
          <cell r="J15">
            <v>764.76355999999998</v>
          </cell>
          <cell r="K15">
            <v>432.64359000000002</v>
          </cell>
          <cell r="L15">
            <v>86.027810000000017</v>
          </cell>
          <cell r="M15">
            <v>1377.5886599999999</v>
          </cell>
          <cell r="N15">
            <v>20641.309919999985</v>
          </cell>
        </row>
        <row r="16">
          <cell r="D16">
            <v>0</v>
          </cell>
          <cell r="E16">
            <v>442.90976999999992</v>
          </cell>
          <cell r="F16">
            <v>6413.9005800000041</v>
          </cell>
          <cell r="G16">
            <v>7791.8144700000003</v>
          </cell>
          <cell r="H16">
            <v>887.37870999999996</v>
          </cell>
          <cell r="I16">
            <v>631.02986999999996</v>
          </cell>
          <cell r="J16">
            <v>31651.029470000012</v>
          </cell>
          <cell r="K16">
            <v>1658.3165000000001</v>
          </cell>
          <cell r="L16">
            <v>653.53387999999995</v>
          </cell>
          <cell r="M16">
            <v>72324.231450000007</v>
          </cell>
          <cell r="N16">
            <v>122454.14470000003</v>
          </cell>
        </row>
        <row r="17">
          <cell r="D17">
            <v>0</v>
          </cell>
          <cell r="E17">
            <v>0.27295999999999998</v>
          </cell>
          <cell r="F17">
            <v>9.35473</v>
          </cell>
          <cell r="G17">
            <v>4.4740000000000002E-2</v>
          </cell>
          <cell r="H17">
            <v>0</v>
          </cell>
          <cell r="I17">
            <v>0.11090000000000001</v>
          </cell>
          <cell r="J17">
            <v>108287.42829</v>
          </cell>
          <cell r="K17">
            <v>0</v>
          </cell>
          <cell r="L17">
            <v>0</v>
          </cell>
          <cell r="M17">
            <v>0</v>
          </cell>
          <cell r="N17">
            <v>108297.21162</v>
          </cell>
        </row>
        <row r="18">
          <cell r="D18">
            <v>13220</v>
          </cell>
          <cell r="E18">
            <v>21.335999999999999</v>
          </cell>
          <cell r="F18">
            <v>76024.492679999952</v>
          </cell>
          <cell r="G18">
            <v>20299.775530000003</v>
          </cell>
          <cell r="H18">
            <v>7545.1163899999992</v>
          </cell>
          <cell r="I18">
            <v>436760.79193000006</v>
          </cell>
          <cell r="J18">
            <v>7054.9496199999994</v>
          </cell>
          <cell r="K18">
            <v>7587.503349999999</v>
          </cell>
          <cell r="L18">
            <v>14972.70881</v>
          </cell>
          <cell r="M18">
            <v>32607.332249999999</v>
          </cell>
          <cell r="N18">
            <v>616094.00655999989</v>
          </cell>
        </row>
        <row r="19">
          <cell r="D19">
            <v>13220</v>
          </cell>
          <cell r="E19">
            <v>0</v>
          </cell>
          <cell r="F19">
            <v>21510.676209999994</v>
          </cell>
          <cell r="G19">
            <v>7636.7188899999992</v>
          </cell>
          <cell r="H19">
            <v>6699.9963899999993</v>
          </cell>
          <cell r="I19">
            <v>436168.36209000007</v>
          </cell>
          <cell r="J19">
            <v>6863.3419699999995</v>
          </cell>
          <cell r="K19">
            <v>4487.2043599999997</v>
          </cell>
          <cell r="L19">
            <v>4410.2837</v>
          </cell>
          <cell r="M19">
            <v>32558.753789999999</v>
          </cell>
          <cell r="N19">
            <v>533555.33740000008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50</v>
          </cell>
          <cell r="L20">
            <v>0</v>
          </cell>
          <cell r="M20">
            <v>0</v>
          </cell>
          <cell r="N20">
            <v>50</v>
          </cell>
        </row>
        <row r="21">
          <cell r="D21">
            <v>13220</v>
          </cell>
          <cell r="E21">
            <v>0</v>
          </cell>
          <cell r="F21">
            <v>21510.676209999994</v>
          </cell>
          <cell r="G21">
            <v>7636.7188899999992</v>
          </cell>
          <cell r="H21">
            <v>6699.9963899999993</v>
          </cell>
          <cell r="I21">
            <v>436168.36209000007</v>
          </cell>
          <cell r="J21">
            <v>6863.3419699999995</v>
          </cell>
          <cell r="K21">
            <v>4437.2043599999997</v>
          </cell>
          <cell r="L21">
            <v>4410.2837</v>
          </cell>
          <cell r="M21">
            <v>32558.753789999999</v>
          </cell>
          <cell r="N21">
            <v>533505.33740000008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D24">
            <v>0</v>
          </cell>
          <cell r="E24">
            <v>21.335999999999999</v>
          </cell>
          <cell r="F24">
            <v>54513.816469999954</v>
          </cell>
          <cell r="G24">
            <v>12663.056640000003</v>
          </cell>
          <cell r="H24">
            <v>845.12</v>
          </cell>
          <cell r="I24">
            <v>592.42984000000001</v>
          </cell>
          <cell r="J24">
            <v>191.60764999999998</v>
          </cell>
          <cell r="K24">
            <v>3100.2989899999993</v>
          </cell>
          <cell r="L24">
            <v>10562.42511</v>
          </cell>
          <cell r="M24">
            <v>48.57846</v>
          </cell>
          <cell r="N24">
            <v>82538.669159999961</v>
          </cell>
        </row>
        <row r="25">
          <cell r="D25">
            <v>0</v>
          </cell>
          <cell r="E25">
            <v>0</v>
          </cell>
          <cell r="F25">
            <v>19128.215879999982</v>
          </cell>
          <cell r="G25">
            <v>0.17499999999999999</v>
          </cell>
          <cell r="H25">
            <v>391.6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5.64466</v>
          </cell>
          <cell r="N25">
            <v>19525.635539999981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D27">
            <v>0</v>
          </cell>
          <cell r="E27">
            <v>20.5</v>
          </cell>
          <cell r="F27">
            <v>30423.76989999997</v>
          </cell>
          <cell r="G27">
            <v>12432.320220000003</v>
          </cell>
          <cell r="H27">
            <v>450</v>
          </cell>
          <cell r="I27">
            <v>561.75</v>
          </cell>
          <cell r="J27">
            <v>49.089959999999998</v>
          </cell>
          <cell r="K27">
            <v>3050.2867399999996</v>
          </cell>
          <cell r="L27">
            <v>6114.8064999999988</v>
          </cell>
          <cell r="M27">
            <v>0.3</v>
          </cell>
          <cell r="N27">
            <v>53102.823319999974</v>
          </cell>
        </row>
        <row r="28">
          <cell r="D28">
            <v>0</v>
          </cell>
          <cell r="E28">
            <v>0.83599999999999997</v>
          </cell>
          <cell r="F28">
            <v>4958.5306899999996</v>
          </cell>
          <cell r="G28">
            <v>200.97042000000002</v>
          </cell>
          <cell r="H28">
            <v>3.52</v>
          </cell>
          <cell r="I28">
            <v>30.679839999999999</v>
          </cell>
          <cell r="J28">
            <v>115.56769</v>
          </cell>
          <cell r="K28">
            <v>50.012249999999995</v>
          </cell>
          <cell r="L28">
            <v>4447.6186100000004</v>
          </cell>
          <cell r="M28">
            <v>42.633800000000001</v>
          </cell>
          <cell r="N28">
            <v>9850.3692999999985</v>
          </cell>
        </row>
        <row r="29">
          <cell r="D29">
            <v>0</v>
          </cell>
          <cell r="E29">
            <v>0</v>
          </cell>
          <cell r="F29">
            <v>3.3</v>
          </cell>
          <cell r="G29">
            <v>29.591000000000001</v>
          </cell>
          <cell r="H29">
            <v>0</v>
          </cell>
          <cell r="I29">
            <v>0</v>
          </cell>
          <cell r="J29">
            <v>26.95</v>
          </cell>
          <cell r="K29">
            <v>0</v>
          </cell>
          <cell r="L29">
            <v>0</v>
          </cell>
          <cell r="M29">
            <v>0</v>
          </cell>
          <cell r="N29">
            <v>59.840999999999994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3483.7882200000004</v>
          </cell>
          <cell r="L30">
            <v>0</v>
          </cell>
          <cell r="M30">
            <v>1883.88571</v>
          </cell>
          <cell r="N30">
            <v>5367.6739300000008</v>
          </cell>
        </row>
        <row r="31">
          <cell r="D31">
            <v>0</v>
          </cell>
          <cell r="E31">
            <v>0</v>
          </cell>
          <cell r="F31">
            <v>31.29186</v>
          </cell>
          <cell r="G31">
            <v>3.76864</v>
          </cell>
          <cell r="H31">
            <v>0.5</v>
          </cell>
          <cell r="I31">
            <v>3.5521099999999999</v>
          </cell>
          <cell r="J31">
            <v>623.95811000000015</v>
          </cell>
          <cell r="K31">
            <v>68.916359999999997</v>
          </cell>
          <cell r="L31">
            <v>2.06E-2</v>
          </cell>
          <cell r="M31">
            <v>59.431059999999995</v>
          </cell>
          <cell r="N31">
            <v>791.43874000000005</v>
          </cell>
        </row>
        <row r="32">
          <cell r="D32">
            <v>135</v>
          </cell>
          <cell r="E32">
            <v>4.5031400000000001</v>
          </cell>
          <cell r="F32">
            <v>4460.7545499999997</v>
          </cell>
          <cell r="G32">
            <v>1044.8912600000001</v>
          </cell>
          <cell r="H32">
            <v>5429.963029999999</v>
          </cell>
          <cell r="I32">
            <v>1273.7297599999997</v>
          </cell>
          <cell r="J32">
            <v>24564.910910000006</v>
          </cell>
          <cell r="K32">
            <v>10033.74957</v>
          </cell>
          <cell r="L32">
            <v>13948.58165</v>
          </cell>
          <cell r="M32">
            <v>82049.727829999989</v>
          </cell>
          <cell r="N32">
            <v>142945.81169999999</v>
          </cell>
        </row>
        <row r="33">
          <cell r="D33">
            <v>0</v>
          </cell>
          <cell r="E33">
            <v>4.5031400000000001</v>
          </cell>
          <cell r="F33">
            <v>2802.61049</v>
          </cell>
          <cell r="G33">
            <v>991.3575400000002</v>
          </cell>
          <cell r="H33">
            <v>39.813010000000006</v>
          </cell>
          <cell r="I33">
            <v>8.084439999999999</v>
          </cell>
          <cell r="J33">
            <v>12854.815650000006</v>
          </cell>
          <cell r="K33">
            <v>119.77657000000001</v>
          </cell>
          <cell r="L33">
            <v>1292.3263599999998</v>
          </cell>
          <cell r="M33">
            <v>47558.554189999981</v>
          </cell>
          <cell r="N33">
            <v>65671.841389999987</v>
          </cell>
        </row>
        <row r="34">
          <cell r="D34">
            <v>135</v>
          </cell>
          <cell r="E34">
            <v>0</v>
          </cell>
          <cell r="F34">
            <v>1658.1440600000001</v>
          </cell>
          <cell r="G34">
            <v>53.533720000000002</v>
          </cell>
          <cell r="H34">
            <v>5390.1500199999991</v>
          </cell>
          <cell r="I34">
            <v>1265.6453199999996</v>
          </cell>
          <cell r="J34">
            <v>11710.09526</v>
          </cell>
          <cell r="K34">
            <v>9913.973</v>
          </cell>
          <cell r="L34">
            <v>12656.255290000001</v>
          </cell>
          <cell r="M34">
            <v>34491.173640000001</v>
          </cell>
          <cell r="N34">
            <v>77273.970310000004</v>
          </cell>
        </row>
        <row r="35">
          <cell r="D35">
            <v>135</v>
          </cell>
          <cell r="E35">
            <v>0</v>
          </cell>
          <cell r="F35">
            <v>1407.43184</v>
          </cell>
          <cell r="G35">
            <v>53.533720000000002</v>
          </cell>
          <cell r="H35">
            <v>5390.1500199999991</v>
          </cell>
          <cell r="I35">
            <v>1237.6453199999996</v>
          </cell>
          <cell r="J35">
            <v>8449.5952600000001</v>
          </cell>
          <cell r="K35">
            <v>9913.973</v>
          </cell>
          <cell r="L35">
            <v>80.687610000000006</v>
          </cell>
          <cell r="M35">
            <v>34491.173640000001</v>
          </cell>
          <cell r="N35">
            <v>61159.190409999996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9913.973</v>
          </cell>
          <cell r="L36">
            <v>0</v>
          </cell>
          <cell r="M36">
            <v>0</v>
          </cell>
          <cell r="N36">
            <v>9913.973</v>
          </cell>
        </row>
        <row r="37">
          <cell r="D37">
            <v>135</v>
          </cell>
          <cell r="E37">
            <v>0</v>
          </cell>
          <cell r="F37">
            <v>1407.43184</v>
          </cell>
          <cell r="G37">
            <v>53.533720000000002</v>
          </cell>
          <cell r="H37">
            <v>5390.1500199999991</v>
          </cell>
          <cell r="I37">
            <v>1237.6453199999996</v>
          </cell>
          <cell r="J37">
            <v>1341.2467000000001</v>
          </cell>
          <cell r="K37">
            <v>0</v>
          </cell>
          <cell r="L37">
            <v>80.687610000000006</v>
          </cell>
          <cell r="M37">
            <v>34491.173640000001</v>
          </cell>
          <cell r="N37">
            <v>44136.868849999999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7108.3485600000004</v>
          </cell>
          <cell r="K38">
            <v>0</v>
          </cell>
          <cell r="L38">
            <v>0</v>
          </cell>
          <cell r="M38">
            <v>0</v>
          </cell>
          <cell r="N38">
            <v>7108.3485600000004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D40">
            <v>0</v>
          </cell>
          <cell r="E40">
            <v>0</v>
          </cell>
          <cell r="F40">
            <v>250.71222</v>
          </cell>
          <cell r="G40">
            <v>0</v>
          </cell>
          <cell r="H40">
            <v>0</v>
          </cell>
          <cell r="I40">
            <v>28</v>
          </cell>
          <cell r="J40">
            <v>3260.5</v>
          </cell>
          <cell r="K40">
            <v>0</v>
          </cell>
          <cell r="L40">
            <v>12575.56768</v>
          </cell>
          <cell r="M40">
            <v>0</v>
          </cell>
          <cell r="N40">
            <v>16114.7799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8">
          <cell r="D48">
            <v>13355</v>
          </cell>
          <cell r="E48">
            <v>2366.3303099999994</v>
          </cell>
          <cell r="F48">
            <v>443902.61460000003</v>
          </cell>
          <cell r="G48">
            <v>46613.578180000004</v>
          </cell>
          <cell r="H48">
            <v>17377.264779999998</v>
          </cell>
          <cell r="I48">
            <v>444061.88903000008</v>
          </cell>
          <cell r="J48">
            <v>204353.40049000006</v>
          </cell>
          <cell r="K48">
            <v>45954.820000000014</v>
          </cell>
          <cell r="L48">
            <v>37333.234389999998</v>
          </cell>
          <cell r="M48">
            <v>206849.45220999999</v>
          </cell>
          <cell r="N48">
            <v>1462167.5839900004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11641.628970000002</v>
          </cell>
          <cell r="I50">
            <v>40000</v>
          </cell>
          <cell r="J50">
            <v>0</v>
          </cell>
          <cell r="K50">
            <v>334</v>
          </cell>
          <cell r="L50">
            <v>0</v>
          </cell>
          <cell r="M50">
            <v>608.14400000000001</v>
          </cell>
          <cell r="N50">
            <v>52583.772970000005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436527.09748</v>
          </cell>
          <cell r="K51">
            <v>0</v>
          </cell>
          <cell r="L51">
            <v>0</v>
          </cell>
          <cell r="M51">
            <v>0</v>
          </cell>
          <cell r="N51">
            <v>436527.09748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153566.93187999999</v>
          </cell>
        </row>
      </sheetData>
      <sheetData sheetId="27">
        <row r="5">
          <cell r="C5">
            <v>6971.9255099997972</v>
          </cell>
          <cell r="D5">
            <v>-24910.003149999888</v>
          </cell>
        </row>
      </sheetData>
      <sheetData sheetId="28">
        <row r="7">
          <cell r="D7">
            <v>576376.80051999993</v>
          </cell>
          <cell r="E7">
            <v>378057.17907999991</v>
          </cell>
          <cell r="F7">
            <v>954433.97959999985</v>
          </cell>
        </row>
        <row r="8">
          <cell r="D8">
            <v>0</v>
          </cell>
          <cell r="E8">
            <v>0</v>
          </cell>
          <cell r="F8">
            <v>0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0</v>
          </cell>
          <cell r="E10">
            <v>0</v>
          </cell>
          <cell r="F10">
            <v>0</v>
          </cell>
        </row>
        <row r="11">
          <cell r="D11">
            <v>10050.294960000001</v>
          </cell>
          <cell r="E11">
            <v>8702.1373899999999</v>
          </cell>
          <cell r="F11">
            <v>18752.432350000003</v>
          </cell>
        </row>
        <row r="12">
          <cell r="D12">
            <v>558332.26815999998</v>
          </cell>
          <cell r="E12">
            <v>326553.53563999996</v>
          </cell>
          <cell r="F12">
            <v>884885.80379999988</v>
          </cell>
        </row>
        <row r="13">
          <cell r="D13">
            <v>44450.094239999999</v>
          </cell>
          <cell r="E13">
            <v>2155.6156100000003</v>
          </cell>
          <cell r="F13">
            <v>46605.709849999999</v>
          </cell>
        </row>
        <row r="14">
          <cell r="D14">
            <v>512440.16796999995</v>
          </cell>
          <cell r="E14">
            <v>324344.98215999996</v>
          </cell>
          <cell r="F14">
            <v>836785.15012999997</v>
          </cell>
        </row>
        <row r="15">
          <cell r="D15">
            <v>6543.4324900000001</v>
          </cell>
          <cell r="E15">
            <v>22066.737989999998</v>
          </cell>
          <cell r="F15">
            <v>28610.170479999997</v>
          </cell>
        </row>
        <row r="16">
          <cell r="D16">
            <v>1450.8049099999998</v>
          </cell>
          <cell r="E16">
            <v>20734.768060000002</v>
          </cell>
          <cell r="F16">
            <v>22185.572970000001</v>
          </cell>
        </row>
        <row r="17">
          <cell r="D17">
            <v>9494.5071800000023</v>
          </cell>
          <cell r="E17">
            <v>105298.51938000003</v>
          </cell>
          <cell r="F17">
            <v>114793.02656000003</v>
          </cell>
        </row>
        <row r="18">
          <cell r="D18">
            <v>0</v>
          </cell>
          <cell r="E18">
            <v>2757.4862099999996</v>
          </cell>
          <cell r="F18">
            <v>2757.4862099999996</v>
          </cell>
        </row>
        <row r="19">
          <cell r="D19">
            <v>9406.7041800000025</v>
          </cell>
          <cell r="E19">
            <v>102459.61923000001</v>
          </cell>
          <cell r="F19">
            <v>111866.32341000001</v>
          </cell>
        </row>
        <row r="20">
          <cell r="D20">
            <v>7534.5245600000007</v>
          </cell>
          <cell r="E20">
            <v>55344.063969999996</v>
          </cell>
          <cell r="F20">
            <v>62878.588529999994</v>
          </cell>
        </row>
        <row r="21">
          <cell r="D21">
            <v>1872.1796200000017</v>
          </cell>
          <cell r="E21">
            <v>47115.555260000016</v>
          </cell>
          <cell r="F21">
            <v>48987.734880000018</v>
          </cell>
        </row>
        <row r="22">
          <cell r="D22">
            <v>0</v>
          </cell>
          <cell r="E22">
            <v>42.855460000000001</v>
          </cell>
          <cell r="F22">
            <v>42.855460000000001</v>
          </cell>
        </row>
        <row r="32">
          <cell r="D32">
            <v>585871.30769999989</v>
          </cell>
          <cell r="E32">
            <v>483355.69845999993</v>
          </cell>
          <cell r="F32">
            <v>1069227.0061599999</v>
          </cell>
        </row>
        <row r="34">
          <cell r="D34">
            <v>550864.23456000001</v>
          </cell>
          <cell r="E34">
            <v>408071.61315999978</v>
          </cell>
          <cell r="F34">
            <v>958935.84771999973</v>
          </cell>
        </row>
        <row r="35">
          <cell r="D35">
            <v>58465.658599999944</v>
          </cell>
          <cell r="E35">
            <v>273081.7712199997</v>
          </cell>
          <cell r="F35">
            <v>331547.42981999967</v>
          </cell>
        </row>
        <row r="36">
          <cell r="D36">
            <v>121093.32540000006</v>
          </cell>
          <cell r="E36">
            <v>118357.26475000007</v>
          </cell>
          <cell r="F36">
            <v>239450.59015000012</v>
          </cell>
        </row>
        <row r="37">
          <cell r="D37">
            <v>2221.5760799999998</v>
          </cell>
          <cell r="E37">
            <v>749.47802000000001</v>
          </cell>
          <cell r="F37">
            <v>2971.0540999999998</v>
          </cell>
        </row>
        <row r="38">
          <cell r="D38">
            <v>339231.50813999999</v>
          </cell>
          <cell r="E38">
            <v>12986.800480000002</v>
          </cell>
          <cell r="F38">
            <v>352218.30861999997</v>
          </cell>
        </row>
        <row r="39">
          <cell r="D39">
            <v>2800.7875400000003</v>
          </cell>
          <cell r="E39">
            <v>0</v>
          </cell>
          <cell r="F39">
            <v>2800.7875400000003</v>
          </cell>
        </row>
        <row r="40">
          <cell r="D40">
            <v>336430.7206</v>
          </cell>
          <cell r="E40">
            <v>12986.800480000002</v>
          </cell>
          <cell r="F40">
            <v>349417.52107999998</v>
          </cell>
        </row>
        <row r="41">
          <cell r="D41">
            <v>29613.967220000002</v>
          </cell>
          <cell r="E41">
            <v>11.661100000000001</v>
          </cell>
          <cell r="F41">
            <v>29625.628320000003</v>
          </cell>
        </row>
        <row r="42">
          <cell r="D42">
            <v>238.19912000000002</v>
          </cell>
          <cell r="E42">
            <v>2884.6375900000003</v>
          </cell>
          <cell r="F42">
            <v>3122.8367100000005</v>
          </cell>
        </row>
        <row r="43">
          <cell r="D43">
            <v>8164.1343199999992</v>
          </cell>
          <cell r="E43">
            <v>100194.08845000002</v>
          </cell>
          <cell r="F43">
            <v>108358.22277000002</v>
          </cell>
        </row>
        <row r="44">
          <cell r="D44">
            <v>3785.2251599999995</v>
          </cell>
          <cell r="E44">
            <v>99205.781840000025</v>
          </cell>
          <cell r="F44">
            <v>102991.00700000003</v>
          </cell>
        </row>
        <row r="45">
          <cell r="D45">
            <v>4378.9091600000002</v>
          </cell>
          <cell r="E45">
            <v>988.30661000000009</v>
          </cell>
          <cell r="F45">
            <v>5367.2157700000007</v>
          </cell>
        </row>
        <row r="46">
          <cell r="D46">
            <v>0</v>
          </cell>
          <cell r="E46">
            <v>0</v>
          </cell>
          <cell r="F46">
            <v>0</v>
          </cell>
        </row>
        <row r="48">
          <cell r="D48">
            <v>559028.36887999997</v>
          </cell>
          <cell r="E48">
            <v>508265.70160999981</v>
          </cell>
          <cell r="F48">
            <v>1067294.0704899998</v>
          </cell>
        </row>
        <row r="50">
          <cell r="D50">
            <v>5705.4649900000004</v>
          </cell>
          <cell r="E50">
            <v>933.19365999999991</v>
          </cell>
          <cell r="F50">
            <v>6638.6586500000003</v>
          </cell>
        </row>
        <row r="51">
          <cell r="D51">
            <v>0</v>
          </cell>
          <cell r="E51">
            <v>12355.46149</v>
          </cell>
          <cell r="F51">
            <v>12355.46149</v>
          </cell>
        </row>
        <row r="52">
          <cell r="D52">
            <v>0</v>
          </cell>
          <cell r="E52">
            <v>0</v>
          </cell>
          <cell r="F52">
            <v>0</v>
          </cell>
        </row>
        <row r="56">
          <cell r="D56">
            <v>26842.938819999923</v>
          </cell>
          <cell r="E56">
            <v>-24910.003149999888</v>
          </cell>
          <cell r="F56">
            <v>1932.9356700000353</v>
          </cell>
        </row>
        <row r="84">
          <cell r="D84">
            <v>26842.938819999923</v>
          </cell>
          <cell r="E84">
            <v>-24910.003149999888</v>
          </cell>
          <cell r="F84">
            <v>1932.9356700000353</v>
          </cell>
        </row>
        <row r="87">
          <cell r="D87">
            <v>556806.79279999994</v>
          </cell>
          <cell r="E87">
            <v>507516.22358999983</v>
          </cell>
          <cell r="F87">
            <v>1064323.0163899998</v>
          </cell>
        </row>
        <row r="88">
          <cell r="D88">
            <v>29064.514899999922</v>
          </cell>
          <cell r="E88">
            <v>-24160.525129999889</v>
          </cell>
          <cell r="F88">
            <v>4903.9897700000347</v>
          </cell>
        </row>
        <row r="89">
          <cell r="D89">
            <v>25512.56595999992</v>
          </cell>
          <cell r="E89">
            <v>-30014.434079999861</v>
          </cell>
          <cell r="F89">
            <v>-4501.8681199998828</v>
          </cell>
        </row>
        <row r="90">
          <cell r="D90">
            <v>1330.3728600000031</v>
          </cell>
          <cell r="E90">
            <v>5104.4309300000023</v>
          </cell>
          <cell r="F90">
            <v>6434.8037900000054</v>
          </cell>
        </row>
      </sheetData>
      <sheetData sheetId="29">
        <row r="6">
          <cell r="D6">
            <v>58456.93089999989</v>
          </cell>
          <cell r="E6">
            <v>33423.313640000109</v>
          </cell>
          <cell r="F6">
            <v>91880.24454</v>
          </cell>
        </row>
        <row r="7">
          <cell r="D7">
            <v>0</v>
          </cell>
          <cell r="E7">
            <v>0</v>
          </cell>
          <cell r="F7">
            <v>0</v>
          </cell>
        </row>
        <row r="8">
          <cell r="D8">
            <v>0</v>
          </cell>
          <cell r="E8">
            <v>0</v>
          </cell>
          <cell r="F8">
            <v>0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58456.93089999989</v>
          </cell>
          <cell r="E10">
            <v>33423.313640000109</v>
          </cell>
          <cell r="F10">
            <v>91880.24454</v>
          </cell>
        </row>
        <row r="11">
          <cell r="D11">
            <v>56591.181739999891</v>
          </cell>
          <cell r="E11">
            <v>29040.322640000104</v>
          </cell>
          <cell r="F11">
            <v>85631.504379999998</v>
          </cell>
        </row>
        <row r="12">
          <cell r="D12">
            <v>1705.9869000000012</v>
          </cell>
          <cell r="E12">
            <v>9428.9706399999941</v>
          </cell>
          <cell r="F12">
            <v>11134.957539999996</v>
          </cell>
        </row>
        <row r="13">
          <cell r="D13">
            <v>0</v>
          </cell>
          <cell r="E13">
            <v>0.2</v>
          </cell>
          <cell r="F13">
            <v>0.2</v>
          </cell>
        </row>
        <row r="14">
          <cell r="D14">
            <v>1689.7667800000013</v>
          </cell>
          <cell r="E14">
            <v>9419.8190999999933</v>
          </cell>
          <cell r="F14">
            <v>11109.585879999995</v>
          </cell>
        </row>
        <row r="16">
          <cell r="D16">
            <v>60162.917799999894</v>
          </cell>
          <cell r="E16">
            <v>42852.284280000102</v>
          </cell>
          <cell r="F16">
            <v>103015.20207999999</v>
          </cell>
        </row>
        <row r="17">
          <cell r="D17">
            <v>58832.542310000244</v>
          </cell>
          <cell r="E17">
            <v>36278.886499999848</v>
          </cell>
          <cell r="F17">
            <v>95111.428810000099</v>
          </cell>
        </row>
        <row r="18">
          <cell r="D18">
            <v>23052.353920000034</v>
          </cell>
          <cell r="E18">
            <v>35070.004509999846</v>
          </cell>
          <cell r="F18">
            <v>58122.358429999877</v>
          </cell>
        </row>
        <row r="19">
          <cell r="D19">
            <v>7789.9388199999403</v>
          </cell>
          <cell r="E19">
            <v>36898.513409999636</v>
          </cell>
          <cell r="F19">
            <v>44688.452229999573</v>
          </cell>
        </row>
        <row r="20">
          <cell r="D20">
            <v>15262.415100000095</v>
          </cell>
          <cell r="E20">
            <v>-1828.5088999997852</v>
          </cell>
          <cell r="F20">
            <v>13433.90620000031</v>
          </cell>
        </row>
        <row r="21">
          <cell r="D21">
            <v>2005.1701600000001</v>
          </cell>
          <cell r="E21">
            <v>0</v>
          </cell>
          <cell r="F21">
            <v>2005.1701600000001</v>
          </cell>
        </row>
        <row r="22">
          <cell r="D22">
            <v>0.13038999999966472</v>
          </cell>
          <cell r="E22">
            <v>48.777029999999911</v>
          </cell>
          <cell r="F22">
            <v>48.907419999999576</v>
          </cell>
        </row>
        <row r="23">
          <cell r="D23">
            <v>33774.887840000214</v>
          </cell>
          <cell r="E23">
            <v>1160.1049600000008</v>
          </cell>
          <cell r="F23">
            <v>34934.992800000218</v>
          </cell>
        </row>
        <row r="24">
          <cell r="D24">
            <v>2495.5896499999999</v>
          </cell>
          <cell r="E24">
            <v>7856.174629999995</v>
          </cell>
          <cell r="F24">
            <v>10351.764279999996</v>
          </cell>
        </row>
        <row r="25">
          <cell r="D25">
            <v>983.66154999999981</v>
          </cell>
          <cell r="E25">
            <v>7823.174629999995</v>
          </cell>
          <cell r="F25">
            <v>8806.8361799999948</v>
          </cell>
        </row>
        <row r="26">
          <cell r="D26">
            <v>1511.9281000000001</v>
          </cell>
          <cell r="E26">
            <v>33</v>
          </cell>
          <cell r="F26">
            <v>1544.9281000000001</v>
          </cell>
        </row>
        <row r="27">
          <cell r="D27">
            <v>0</v>
          </cell>
          <cell r="E27">
            <v>0</v>
          </cell>
          <cell r="F27">
            <v>0</v>
          </cell>
        </row>
        <row r="29">
          <cell r="D29">
            <v>61328.131960000246</v>
          </cell>
          <cell r="E29">
            <v>44135.061129999842</v>
          </cell>
          <cell r="F29">
            <v>105463.19309000009</v>
          </cell>
        </row>
        <row r="31">
          <cell r="D31">
            <v>-1165.2141600003524</v>
          </cell>
          <cell r="E31">
            <v>-1282.7768499997401</v>
          </cell>
          <cell r="F31">
            <v>-2447.9910100000925</v>
          </cell>
        </row>
      </sheetData>
      <sheetData sheetId="30"/>
      <sheetData sheetId="31">
        <row r="5">
          <cell r="B5">
            <v>36625522.399999999</v>
          </cell>
          <cell r="C5">
            <v>32850164.600000001</v>
          </cell>
          <cell r="D5">
            <v>1211799.6899999997</v>
          </cell>
          <cell r="E5">
            <v>3.1406475271683254</v>
          </cell>
          <cell r="F5">
            <v>7.0967382994208279</v>
          </cell>
          <cell r="G5">
            <v>0.15534185380530374</v>
          </cell>
        </row>
        <row r="6">
          <cell r="B6">
            <v>26997928.990000002</v>
          </cell>
          <cell r="C6">
            <v>22219348.940000001</v>
          </cell>
          <cell r="D6">
            <v>630</v>
          </cell>
          <cell r="E6">
            <v>-9.0551081503171815E-3</v>
          </cell>
          <cell r="F6">
            <v>5.4961534588442218E-2</v>
          </cell>
          <cell r="G6">
            <v>0</v>
          </cell>
        </row>
        <row r="7">
          <cell r="B7">
            <v>63623451.390000001</v>
          </cell>
          <cell r="C7">
            <v>55069513.540000007</v>
          </cell>
          <cell r="D7">
            <v>1212429.6899999997</v>
          </cell>
          <cell r="E7">
            <v>0.76291115221863404</v>
          </cell>
          <cell r="F7">
            <v>1.1923474407499435</v>
          </cell>
          <cell r="G7">
            <v>0.15524860400238638</v>
          </cell>
        </row>
        <row r="13">
          <cell r="B13">
            <v>97929430.530000001</v>
          </cell>
          <cell r="C13">
            <v>96516464.900000006</v>
          </cell>
          <cell r="D13">
            <v>2626911.1400000025</v>
          </cell>
          <cell r="E13">
            <v>1.5009546837742804</v>
          </cell>
          <cell r="F13">
            <v>1.5635256047222543</v>
          </cell>
          <cell r="G13">
            <v>-0.45025488255366553</v>
          </cell>
        </row>
        <row r="14">
          <cell r="B14">
            <v>352056.16000000003</v>
          </cell>
          <cell r="C14">
            <v>298260.40999999997</v>
          </cell>
          <cell r="D14">
            <v>0</v>
          </cell>
          <cell r="E14">
            <v>1.3803415691507723</v>
          </cell>
          <cell r="F14">
            <v>1.0166147706517976</v>
          </cell>
          <cell r="G14">
            <v>0</v>
          </cell>
        </row>
        <row r="15">
          <cell r="B15">
            <v>98281486.689999998</v>
          </cell>
          <cell r="C15">
            <v>96814725.310000002</v>
          </cell>
          <cell r="D15">
            <v>2626911.1400000025</v>
          </cell>
          <cell r="E15">
            <v>1.5005008231735091</v>
          </cell>
          <cell r="F15">
            <v>1.5613855605744775</v>
          </cell>
          <cell r="G15">
            <v>-0.45025488255366553</v>
          </cell>
        </row>
        <row r="21">
          <cell r="B21">
            <v>66867476.769999996</v>
          </cell>
          <cell r="C21">
            <v>64343617.269999996</v>
          </cell>
          <cell r="D21">
            <v>14405454.02000002</v>
          </cell>
          <cell r="E21">
            <v>0.13387658272497793</v>
          </cell>
          <cell r="F21">
            <v>0.17628269424701881</v>
          </cell>
          <cell r="G21">
            <v>-0.59286760899116575</v>
          </cell>
        </row>
        <row r="22">
          <cell r="B22">
            <v>13832439.9</v>
          </cell>
          <cell r="C22">
            <v>5115304.8999999994</v>
          </cell>
          <cell r="D22">
            <v>368379.67999999993</v>
          </cell>
          <cell r="E22">
            <v>6.5507511574814492E-2</v>
          </cell>
          <cell r="F22">
            <v>0.19940040963401606</v>
          </cell>
          <cell r="G22">
            <v>1.6046372453692306</v>
          </cell>
        </row>
        <row r="23">
          <cell r="B23">
            <v>80699916.670000002</v>
          </cell>
          <cell r="C23">
            <v>69458922.170000002</v>
          </cell>
          <cell r="D23">
            <v>14773833.70000002</v>
          </cell>
          <cell r="E23">
            <v>0.12154143955744678</v>
          </cell>
          <cell r="F23">
            <v>0.17795475793621551</v>
          </cell>
          <cell r="G23">
            <v>-0.58411868866696526</v>
          </cell>
        </row>
        <row r="29">
          <cell r="B29">
            <v>201422429.69999999</v>
          </cell>
          <cell r="C29">
            <v>193710246.76999998</v>
          </cell>
          <cell r="D29">
            <v>18244164.850000024</v>
          </cell>
          <cell r="E29">
            <v>0.88289910042724751</v>
          </cell>
          <cell r="F29">
            <v>1.0092774488756167</v>
          </cell>
          <cell r="G29">
            <v>-0.55728802372209429</v>
          </cell>
        </row>
        <row r="30">
          <cell r="B30">
            <v>18240051.23</v>
          </cell>
          <cell r="C30">
            <v>17749689.399999999</v>
          </cell>
          <cell r="D30">
            <v>157746.74</v>
          </cell>
          <cell r="E30">
            <v>7.4572425528357904</v>
          </cell>
          <cell r="F30">
            <v>20.340665208470565</v>
          </cell>
          <cell r="G30">
            <v>292.62433921524826</v>
          </cell>
        </row>
        <row r="31">
          <cell r="B31">
            <v>95080717.329999983</v>
          </cell>
          <cell r="C31">
            <v>93700603.530000001</v>
          </cell>
          <cell r="D31">
            <v>15319622.490000023</v>
          </cell>
          <cell r="E31">
            <v>5.7802496801933057E-2</v>
          </cell>
          <cell r="F31">
            <v>4.4148339217767729E-2</v>
          </cell>
          <cell r="G31">
            <v>-0.61354458408989188</v>
          </cell>
        </row>
        <row r="32">
          <cell r="B32">
            <v>18945660.039999999</v>
          </cell>
          <cell r="C32">
            <v>15528018.18</v>
          </cell>
          <cell r="D32">
            <v>2520673.37</v>
          </cell>
          <cell r="E32">
            <v>1.1294708246140233</v>
          </cell>
          <cell r="F32">
            <v>3.2923385224995325</v>
          </cell>
          <cell r="G32">
            <v>0.69721987841388855</v>
          </cell>
        </row>
        <row r="33">
          <cell r="B33">
            <v>67727639.609999999</v>
          </cell>
          <cell r="C33">
            <v>65309411.720000006</v>
          </cell>
          <cell r="D33">
            <v>246071.25</v>
          </cell>
          <cell r="E33">
            <v>13.536533067050881</v>
          </cell>
          <cell r="F33">
            <v>75.865886439310216</v>
          </cell>
          <cell r="G33">
            <v>1.9692675670917481</v>
          </cell>
        </row>
        <row r="34">
          <cell r="B34">
            <v>1384353.8</v>
          </cell>
          <cell r="C34">
            <v>1384353.8</v>
          </cell>
          <cell r="D34">
            <v>0</v>
          </cell>
          <cell r="E34">
            <v>1.1750658489386723E-2</v>
          </cell>
          <cell r="F34">
            <v>1.1750658489386723E-2</v>
          </cell>
          <cell r="G34">
            <v>0</v>
          </cell>
        </row>
        <row r="35">
          <cell r="B35">
            <v>44007.69</v>
          </cell>
          <cell r="C35">
            <v>38170.14</v>
          </cell>
          <cell r="D35">
            <v>51</v>
          </cell>
          <cell r="E35">
            <v>4.2001519597011381</v>
          </cell>
          <cell r="F35">
            <v>19.574343881890655</v>
          </cell>
          <cell r="G35">
            <v>0</v>
          </cell>
        </row>
        <row r="36">
          <cell r="B36">
            <v>41182425.050000004</v>
          </cell>
          <cell r="C36">
            <v>27632914.25</v>
          </cell>
          <cell r="D36">
            <v>369009.67999999993</v>
          </cell>
          <cell r="E36">
            <v>2.0009419210005763E-2</v>
          </cell>
          <cell r="F36">
            <v>8.4726347833952165E-2</v>
          </cell>
          <cell r="G36">
            <v>1.5975211991589031</v>
          </cell>
        </row>
        <row r="37">
          <cell r="B37">
            <v>23631285.220000003</v>
          </cell>
          <cell r="C37">
            <v>15904898.289999999</v>
          </cell>
          <cell r="D37">
            <v>369009.67999999993</v>
          </cell>
          <cell r="E37">
            <v>1.3164220260316828E-2</v>
          </cell>
          <cell r="F37">
            <v>0.10421996085090668</v>
          </cell>
          <cell r="G37">
            <v>1.5975211991589031</v>
          </cell>
        </row>
        <row r="38">
          <cell r="B38">
            <v>17551139.830000002</v>
          </cell>
          <cell r="C38">
            <v>11728015.960000001</v>
          </cell>
          <cell r="D38">
            <v>0</v>
          </cell>
          <cell r="E38">
            <v>2.9373414661517439E-2</v>
          </cell>
          <cell r="F38">
            <v>5.9364065556264167E-2</v>
          </cell>
          <cell r="G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B40">
            <v>242604854.75</v>
          </cell>
          <cell r="C40">
            <v>221343161.02000004</v>
          </cell>
          <cell r="D40">
            <v>18613174.530000024</v>
          </cell>
          <cell r="E40">
            <v>0.64646218575373693</v>
          </cell>
          <cell r="F40">
            <v>0.81603781744599568</v>
          </cell>
          <cell r="G40">
            <v>-0.54988532271119417</v>
          </cell>
        </row>
        <row r="42">
          <cell r="B42">
            <v>175681323.56</v>
          </cell>
          <cell r="C42">
            <v>154432113.77000004</v>
          </cell>
          <cell r="D42">
            <v>3839340.8300000052</v>
          </cell>
          <cell r="E42">
            <v>0.94997361424093474</v>
          </cell>
          <cell r="F42">
            <v>1.3891117505562223</v>
          </cell>
          <cell r="G42">
            <v>-0.33776261931370632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zoomScale="80" zoomScaleNormal="80" workbookViewId="0">
      <selection activeCell="P18" sqref="P18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L13" sqref="L13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(janeiro-novembro)","TABLE VII - Regional Gov. expenditure by functional classification (january-november)")</f>
        <v>QUADRO VII - Despesa do Governo Regional, por classificação funcional (janeiro-novembro)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28">
        <v>2024</v>
      </c>
      <c r="E3" s="331">
        <v>2025</v>
      </c>
      <c r="F3" s="332" t="str">
        <f>+IF(Índice!$D$2=1,"Peso na estrutura
 em 2025","Weight in 2025 structure")</f>
        <v>Peso na estrutura
 em 2025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f>+[2]D_Est_Func_Q7!D8</f>
        <v>211326.18844999984</v>
      </c>
      <c r="E5" s="34">
        <f>+[2]D_Est_Func_Q7!E8</f>
        <v>208448.87203000012</v>
      </c>
      <c r="F5" s="34">
        <f>+[2]D_Est_Func_Q7!F8</f>
        <v>14.256154650972331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f>+[2]D_Est_Func_Q7!D9</f>
        <v>0</v>
      </c>
      <c r="E6" s="34">
        <f>+[2]D_Est_Func_Q7!E9</f>
        <v>0</v>
      </c>
      <c r="F6" s="34">
        <f>+[2]D_Est_Func_Q7!F9</f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f>+[2]D_Est_Func_Q7!D10</f>
        <v>11890.090489999999</v>
      </c>
      <c r="E7" s="34">
        <f>+[2]D_Est_Func_Q7!E10</f>
        <v>15032.190930000001</v>
      </c>
      <c r="F7" s="34">
        <f>+[2]D_Est_Func_Q7!F10</f>
        <v>1.0280757893004149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f>+[2]D_Est_Func_Q7!D11</f>
        <v>229468.25195000001</v>
      </c>
      <c r="E8" s="34">
        <f>+[2]D_Est_Func_Q7!E11</f>
        <v>229916.87806999992</v>
      </c>
      <c r="F8" s="34">
        <f>+[2]D_Est_Func_Q7!F11</f>
        <v>15.724386218616399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f>+[2]D_Est_Func_Q7!D12</f>
        <v>22818.358180000007</v>
      </c>
      <c r="E9" s="34">
        <f>+[2]D_Est_Func_Q7!E12</f>
        <v>9699.1728899999998</v>
      </c>
      <c r="F9" s="34">
        <f>+[2]D_Est_Func_Q7!F12</f>
        <v>0.66334208172859721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f>+[2]D_Est_Func_Q7!D13</f>
        <v>71189.100969999985</v>
      </c>
      <c r="E10" s="34">
        <f>+[2]D_Est_Func_Q7!E13</f>
        <v>77347.705990000002</v>
      </c>
      <c r="F10" s="34">
        <f>+[2]D_Est_Func_Q7!F13</f>
        <v>5.2899343985544824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f>+[2]D_Est_Func_Q7!D14</f>
        <v>416889.03103000001</v>
      </c>
      <c r="E11" s="34">
        <f>+[2]D_Est_Func_Q7!E14</f>
        <v>436258.81602000009</v>
      </c>
      <c r="F11" s="34">
        <f>+[2]D_Est_Func_Q7!F14</f>
        <v>29.836444248717779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f>+[2]D_Est_Func_Q7!D15</f>
        <v>29060.762479999998</v>
      </c>
      <c r="E12" s="34">
        <f>+[2]D_Est_Func_Q7!E15</f>
        <v>34673.54362999992</v>
      </c>
      <c r="F12" s="34">
        <f>+[2]D_Est_Func_Q7!F15</f>
        <v>2.3713795880621205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f>+[2]D_Est_Func_Q7!D16</f>
        <v>406329.73172999889</v>
      </c>
      <c r="E13" s="34">
        <f>+[2]D_Est_Func_Q7!E16</f>
        <v>417577.29817999981</v>
      </c>
      <c r="F13" s="34">
        <f>+[2]D_Est_Func_Q7!F16</f>
        <v>28.55878510454351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f>+[2]D_Est_Func_Q7!D17</f>
        <v>29062.696589999996</v>
      </c>
      <c r="E14" s="34">
        <f>+[2]D_Est_Func_Q7!E17</f>
        <v>33213.106249999997</v>
      </c>
      <c r="F14" s="34">
        <f>+[2]D_Est_Func_Q7!F17</f>
        <v>2.271497919504359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f>+[2]D_Est_Func_Q7!D19</f>
        <v>1428034.2118699988</v>
      </c>
      <c r="E17" s="145">
        <f>+[2]D_Est_Func_Q7!E19</f>
        <v>1462167.58399</v>
      </c>
      <c r="F17" s="145">
        <f>+[2]D_Est_Func_Q7!F19</f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f>+[2]D_Est_Func_Q7!D22</f>
        <v>14258.04883</v>
      </c>
      <c r="E20" s="152">
        <f>+[2]D_Est_Func_Q7!E22</f>
        <v>52583.772969999998</v>
      </c>
      <c r="F20" s="152">
        <f>+[2]D_Est_Func_Q7!F22</f>
        <v>3.5962890673932235</v>
      </c>
      <c r="M20" s="7"/>
      <c r="N20" s="7"/>
      <c r="P20" s="9"/>
      <c r="Q20" s="9"/>
    </row>
    <row r="21" spans="3:17">
      <c r="C21" s="281" t="str">
        <f>+IF(Índice!$D$2=1,"Passivos financeiros","Financial liabilities")</f>
        <v>Passivos financeiros</v>
      </c>
      <c r="D21" s="282">
        <f>+[2]D_Est_Func_Q7!D23</f>
        <v>233330.28303999998</v>
      </c>
      <c r="E21" s="282">
        <f>+[2]D_Est_Func_Q7!E23</f>
        <v>436527.09748</v>
      </c>
      <c r="F21" s="282">
        <f>+[2]D_Est_Func_Q7!F23</f>
        <v>29.854792450588587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86"/>
  <sheetViews>
    <sheetView showGridLines="0" zoomScale="120" zoomScaleNormal="120" zoomScalePageLayoutView="115" workbookViewId="0">
      <selection activeCell="L13" sqref="L13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10" width="9.7109375" style="187" customWidth="1"/>
    <col min="11" max="11" width="8.42578125" style="187" customWidth="1"/>
    <col min="12" max="12" width="9.5703125" style="187" customWidth="1"/>
    <col min="13" max="13" width="11.85546875" style="187" customWidth="1"/>
    <col min="14" max="14" width="10.85546875" style="187" customWidth="1"/>
    <col min="15" max="15" width="7.28515625" style="186" customWidth="1"/>
    <col min="16" max="26" width="11.42578125" style="186" customWidth="1"/>
    <col min="27" max="27" width="9.140625" style="186" customWidth="1"/>
    <col min="28" max="31" width="11.42578125" style="186" customWidth="1"/>
    <col min="32" max="32" width="22.28515625" style="186" customWidth="1"/>
    <col min="33" max="36" width="8.85546875" style="186"/>
    <col min="37" max="40" width="9.140625" style="186" customWidth="1"/>
    <col min="41" max="42" width="8.85546875" style="186"/>
    <col min="43" max="16384" width="8.85546875" style="187"/>
  </cols>
  <sheetData>
    <row r="1" spans="2:16">
      <c r="C1" s="184"/>
      <c r="D1" s="184"/>
      <c r="E1" s="184"/>
      <c r="F1" s="185"/>
      <c r="G1" s="185"/>
      <c r="H1" s="185"/>
      <c r="I1" s="185"/>
      <c r="J1" s="185"/>
      <c r="K1" s="184"/>
      <c r="L1" s="184"/>
      <c r="M1" s="184"/>
      <c r="N1" s="184"/>
    </row>
    <row r="2" spans="2:16" ht="13.5" customHeight="1">
      <c r="B2" s="188"/>
      <c r="C2" s="256" t="str">
        <f>+IF(Índice!$D$2=1,"QUADRO VIII - Execução orçamental por classificação cruzada orgânica e económica (janeiro-novembro)","TABLE VIII - Budget execution by organic and economic cross-classification (january-november)")</f>
        <v>QUADRO VIII - Execução orçamental por classificação cruzada orgânica e económica (janeiro-novembro)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52" t="str">
        <f>+IF(Índice!$D$2=1,"€ Milhares","€ Thousands")</f>
        <v>€ Milhares</v>
      </c>
      <c r="P2" s="190" t="str">
        <f>+IF(Índice!$D$2=1,"índice","Index")</f>
        <v>índice</v>
      </c>
    </row>
    <row r="3" spans="2:16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320" t="str">
        <f>+IF(Índice!$D$2=1,"Turismo, Ambiente e Cultura","Tourism, Enviroment and Culture")</f>
        <v>Turismo, Ambiente e Cultura</v>
      </c>
      <c r="H3" s="320" t="str">
        <f>+IF(Índice!$D$2=1,"Economia","Economy")</f>
        <v>Economia</v>
      </c>
      <c r="I3" s="192" t="str">
        <f>+IF(Índice!$D$2=1,"Saúde e Proteção Civil","Health and Civil Protection")</f>
        <v>Saúde e Proteção Civil</v>
      </c>
      <c r="J3" s="192" t="str">
        <f>+IF(Índice!$D$2=1,"Finanças","Finances")</f>
        <v>Finanças</v>
      </c>
      <c r="K3" s="192" t="str">
        <f>+IF(Índice!$D$2=1,"Agricultura, Pescas e Ambiente","Agriculture and Fisheries")</f>
        <v>Agricultura, Pescas e Ambiente</v>
      </c>
      <c r="L3" s="192" t="str">
        <f>+IF(Índice!$D$2=1,"Inclusão, Trabalho e Jventude","Inclusion, Labor and Youth")</f>
        <v>Inclusão, Trabalho e Jventude</v>
      </c>
      <c r="M3" s="192" t="str">
        <f>+IF(Índice!$D$2=1,"Equipamentos e Infraestruturas","Equipment and infrastructures")</f>
        <v>Equipamentos e Infraestruturas</v>
      </c>
      <c r="N3" s="193" t="s">
        <v>5</v>
      </c>
    </row>
    <row r="4" spans="2:16" ht="27" customHeight="1">
      <c r="C4" s="253" t="str">
        <f>+IF(Índice!$D$2=1,"Despesa corrente","Current expenditure")</f>
        <v>Despesa corrente</v>
      </c>
      <c r="D4" s="194">
        <f>+[2]D_Est_Org_Q8!D9</f>
        <v>13220</v>
      </c>
      <c r="E4" s="194">
        <f>+[2]D_Est_Org_Q8!E9</f>
        <v>2361.8271699999996</v>
      </c>
      <c r="F4" s="194">
        <f>+[2]D_Est_Org_Q8!F9</f>
        <v>439441.86005000002</v>
      </c>
      <c r="G4" s="194">
        <f>+[2]D_Est_Org_Q8!G9</f>
        <v>45568.686920000007</v>
      </c>
      <c r="H4" s="194">
        <f>+[2]D_Est_Org_Q8!H9</f>
        <v>11947.301749999999</v>
      </c>
      <c r="I4" s="194">
        <f>+[2]D_Est_Org_Q8!I9</f>
        <v>442788.15927000006</v>
      </c>
      <c r="J4" s="194">
        <f>+[2]D_Est_Org_Q8!J9</f>
        <v>179788.48958000005</v>
      </c>
      <c r="K4" s="194">
        <f>+[2]D_Est_Org_Q8!K9</f>
        <v>35921.070430000014</v>
      </c>
      <c r="L4" s="194">
        <f>+[2]D_Est_Org_Q8!L9</f>
        <v>23384.652740000001</v>
      </c>
      <c r="M4" s="194">
        <f>+[2]D_Est_Org_Q8!M9</f>
        <v>124799.72438</v>
      </c>
      <c r="N4" s="194">
        <f>+[2]D_Est_Org_Q8!N9</f>
        <v>1319221.77229</v>
      </c>
    </row>
    <row r="5" spans="2:16" ht="15" customHeight="1">
      <c r="B5" s="195"/>
      <c r="C5" s="104" t="str">
        <f>+IF(Índice!$D$2=1,"Despesas com o pessoal","Compensation of employees")</f>
        <v>Despesas com o pessoal</v>
      </c>
      <c r="D5" s="196">
        <f>+[2]D_Est_Org_Q8!D10</f>
        <v>0</v>
      </c>
      <c r="E5" s="196">
        <f>+[2]D_Est_Org_Q8!E10</f>
        <v>1832.0262699999998</v>
      </c>
      <c r="F5" s="196">
        <f>+[2]D_Est_Org_Q8!F10</f>
        <v>339361.07511000003</v>
      </c>
      <c r="G5" s="196">
        <f>+[2]D_Est_Org_Q8!G10</f>
        <v>17248.935780000003</v>
      </c>
      <c r="H5" s="196">
        <f>+[2]D_Est_Org_Q8!H10</f>
        <v>3502.7874899999988</v>
      </c>
      <c r="I5" s="196">
        <f>+[2]D_Est_Org_Q8!I10</f>
        <v>5315.2823399999997</v>
      </c>
      <c r="J5" s="196">
        <f>+[2]D_Est_Org_Q8!J10</f>
        <v>31406.360530000031</v>
      </c>
      <c r="K5" s="196">
        <f>+[2]D_Est_Org_Q8!K10</f>
        <v>22689.90241000001</v>
      </c>
      <c r="L5" s="196">
        <f>+[2]D_Est_Org_Q8!L10</f>
        <v>7672.3616400000001</v>
      </c>
      <c r="M5" s="196">
        <f>+[2]D_Est_Org_Q8!M10</f>
        <v>16547.255249999991</v>
      </c>
      <c r="N5" s="196">
        <f>+[2]D_Est_Org_Q8!N10</f>
        <v>445575.98682000005</v>
      </c>
      <c r="O5" s="21"/>
    </row>
    <row r="6" spans="2:16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f>+[2]D_Est_Org_Q8!D11</f>
        <v>0</v>
      </c>
      <c r="E6" s="197">
        <f>+[2]D_Est_Org_Q8!E11</f>
        <v>1423.2148099999999</v>
      </c>
      <c r="F6" s="197">
        <f>+[2]D_Est_Org_Q8!F11</f>
        <v>274941.60442000005</v>
      </c>
      <c r="G6" s="197">
        <f>+[2]D_Est_Org_Q8!G11</f>
        <v>14009.368270000006</v>
      </c>
      <c r="H6" s="197">
        <f>+[2]D_Est_Org_Q8!H11</f>
        <v>2890.2725099999989</v>
      </c>
      <c r="I6" s="197">
        <f>+[2]D_Est_Org_Q8!I11</f>
        <v>4294.5251199999993</v>
      </c>
      <c r="J6" s="197">
        <f>+[2]D_Est_Org_Q8!J11</f>
        <v>23440.826280000027</v>
      </c>
      <c r="K6" s="197">
        <f>+[2]D_Est_Org_Q8!K11</f>
        <v>17871.635810000011</v>
      </c>
      <c r="L6" s="197">
        <f>+[2]D_Est_Org_Q8!L11</f>
        <v>6170.5196000000005</v>
      </c>
      <c r="M6" s="197">
        <f>+[2]D_Est_Org_Q8!M11</f>
        <v>13231.896509999991</v>
      </c>
      <c r="N6" s="197">
        <f>+[2]D_Est_Org_Q8!N11</f>
        <v>358273.86333000002</v>
      </c>
    </row>
    <row r="7" spans="2:16" ht="15" customHeight="1">
      <c r="B7" s="195"/>
      <c r="C7" s="109" t="str">
        <f>+IF(Índice!$D$2=1,"Abonos Variáveis ou Eventuais","Variable or contingent bonuses")</f>
        <v>Abonos Variáveis ou Eventuais</v>
      </c>
      <c r="D7" s="197">
        <f>+[2]D_Est_Org_Q8!D12</f>
        <v>0</v>
      </c>
      <c r="E7" s="197">
        <f>+[2]D_Est_Org_Q8!E12</f>
        <v>45.33811</v>
      </c>
      <c r="F7" s="197">
        <f>+[2]D_Est_Org_Q8!F12</f>
        <v>7986.141279999998</v>
      </c>
      <c r="G7" s="197">
        <f>+[2]D_Est_Org_Q8!G12</f>
        <v>440.76961</v>
      </c>
      <c r="H7" s="197">
        <f>+[2]D_Est_Org_Q8!H12</f>
        <v>56.950180000000003</v>
      </c>
      <c r="I7" s="197">
        <f>+[2]D_Est_Org_Q8!I12</f>
        <v>106.66267999999998</v>
      </c>
      <c r="J7" s="197">
        <f>+[2]D_Est_Org_Q8!J12</f>
        <v>2814.2880900000005</v>
      </c>
      <c r="K7" s="197">
        <f>+[2]D_Est_Org_Q8!K12</f>
        <v>1017.4877300000001</v>
      </c>
      <c r="L7" s="197">
        <f>+[2]D_Est_Org_Q8!L12</f>
        <v>259.52639999999997</v>
      </c>
      <c r="M7" s="197">
        <f>+[2]D_Est_Org_Q8!M12</f>
        <v>560.45467999999994</v>
      </c>
      <c r="N7" s="197">
        <f>+[2]D_Est_Org_Q8!N12</f>
        <v>13287.618759999999</v>
      </c>
    </row>
    <row r="8" spans="2:16" ht="15" customHeight="1">
      <c r="B8" s="195"/>
      <c r="C8" s="109" t="str">
        <f>+IF(Índice!$D$2=1,"Segurança social","Social security")</f>
        <v>Segurança social</v>
      </c>
      <c r="D8" s="197">
        <f>+[2]D_Est_Org_Q8!D13</f>
        <v>0</v>
      </c>
      <c r="E8" s="197">
        <f>+[2]D_Est_Org_Q8!E13</f>
        <v>363.47334999999998</v>
      </c>
      <c r="F8" s="197">
        <f>+[2]D_Est_Org_Q8!F13</f>
        <v>56433.329409999984</v>
      </c>
      <c r="G8" s="197">
        <f>+[2]D_Est_Org_Q8!G13</f>
        <v>2798.7978999999991</v>
      </c>
      <c r="H8" s="197">
        <f>+[2]D_Est_Org_Q8!H13</f>
        <v>555.56479999999999</v>
      </c>
      <c r="I8" s="197">
        <f>+[2]D_Est_Org_Q8!I13</f>
        <v>914.09453999999994</v>
      </c>
      <c r="J8" s="197">
        <f>+[2]D_Est_Org_Q8!J13</f>
        <v>5151.2461600000015</v>
      </c>
      <c r="K8" s="197">
        <f>+[2]D_Est_Org_Q8!K13</f>
        <v>3800.7788699999996</v>
      </c>
      <c r="L8" s="197">
        <f>+[2]D_Est_Org_Q8!L13</f>
        <v>1242.3156399999998</v>
      </c>
      <c r="M8" s="197">
        <f>+[2]D_Est_Org_Q8!M13</f>
        <v>2754.9040599999989</v>
      </c>
      <c r="N8" s="197">
        <f>+[2]D_Est_Org_Q8!N13</f>
        <v>74014.504729999971</v>
      </c>
    </row>
    <row r="9" spans="2:16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f>+[2]D_Est_Org_Q8!D14</f>
        <v>0</v>
      </c>
      <c r="E9" s="196">
        <f>+[2]D_Est_Org_Q8!E14</f>
        <v>508.19193999999993</v>
      </c>
      <c r="F9" s="196">
        <f>+[2]D_Est_Org_Q8!F14</f>
        <v>24015.645669999991</v>
      </c>
      <c r="G9" s="196">
        <f>+[2]D_Est_Org_Q8!G14</f>
        <v>8016.1622299999999</v>
      </c>
      <c r="H9" s="196">
        <f>+[2]D_Est_Org_Q8!H14</f>
        <v>898.89787000000001</v>
      </c>
      <c r="I9" s="196">
        <f>+[2]D_Est_Org_Q8!I14</f>
        <v>708.42198999999994</v>
      </c>
      <c r="J9" s="196">
        <f>+[2]D_Est_Org_Q8!J14</f>
        <v>32415.793030000012</v>
      </c>
      <c r="K9" s="196">
        <f>+[2]D_Est_Org_Q8!K14</f>
        <v>2090.96009</v>
      </c>
      <c r="L9" s="196">
        <f>+[2]D_Est_Org_Q8!L14</f>
        <v>739.56169</v>
      </c>
      <c r="M9" s="196">
        <f>+[2]D_Est_Org_Q8!M14</f>
        <v>73701.820110000001</v>
      </c>
      <c r="N9" s="196">
        <f>+[2]D_Est_Org_Q8!N14</f>
        <v>143095.45462</v>
      </c>
    </row>
    <row r="10" spans="2:16" ht="15" customHeight="1">
      <c r="B10" s="195"/>
      <c r="C10" s="199" t="str">
        <f>IF(Índice!$D$2=1,"Aquisição de bens","Purchase of goods")</f>
        <v>Aquisição de bens</v>
      </c>
      <c r="D10" s="197">
        <f>+[2]D_Est_Org_Q8!D15</f>
        <v>0</v>
      </c>
      <c r="E10" s="197">
        <f>+[2]D_Est_Org_Q8!E15</f>
        <v>65.282169999999994</v>
      </c>
      <c r="F10" s="197">
        <f>+[2]D_Est_Org_Q8!F15</f>
        <v>17601.745089999986</v>
      </c>
      <c r="G10" s="197">
        <f>+[2]D_Est_Org_Q8!G15</f>
        <v>224.34776000000008</v>
      </c>
      <c r="H10" s="197">
        <f>+[2]D_Est_Org_Q8!H15</f>
        <v>11.519159999999999</v>
      </c>
      <c r="I10" s="197">
        <f>+[2]D_Est_Org_Q8!I15</f>
        <v>77.39212000000002</v>
      </c>
      <c r="J10" s="197">
        <f>+[2]D_Est_Org_Q8!J15</f>
        <v>764.76355999999998</v>
      </c>
      <c r="K10" s="197">
        <f>+[2]D_Est_Org_Q8!K15</f>
        <v>432.64359000000002</v>
      </c>
      <c r="L10" s="197">
        <f>+[2]D_Est_Org_Q8!L15</f>
        <v>86.027810000000017</v>
      </c>
      <c r="M10" s="197">
        <f>+[2]D_Est_Org_Q8!M15</f>
        <v>1377.5886599999999</v>
      </c>
      <c r="N10" s="197">
        <f>+[2]D_Est_Org_Q8!N15</f>
        <v>20641.309919999985</v>
      </c>
    </row>
    <row r="11" spans="2:16" ht="15" customHeight="1">
      <c r="B11" s="195"/>
      <c r="C11" s="199" t="str">
        <f>IF(Índice!$D$2=1,"Aquisição de serviços","Purchase of services")</f>
        <v>Aquisição de serviços</v>
      </c>
      <c r="D11" s="197">
        <f>+[2]D_Est_Org_Q8!D16</f>
        <v>0</v>
      </c>
      <c r="E11" s="197">
        <f>+[2]D_Est_Org_Q8!E16</f>
        <v>442.90976999999992</v>
      </c>
      <c r="F11" s="197">
        <f>+[2]D_Est_Org_Q8!F16</f>
        <v>6413.9005800000041</v>
      </c>
      <c r="G11" s="197">
        <f>+[2]D_Est_Org_Q8!G16</f>
        <v>7791.8144700000003</v>
      </c>
      <c r="H11" s="197">
        <f>+[2]D_Est_Org_Q8!H16</f>
        <v>887.37870999999996</v>
      </c>
      <c r="I11" s="197">
        <f>+[2]D_Est_Org_Q8!I16</f>
        <v>631.02986999999996</v>
      </c>
      <c r="J11" s="197">
        <f>+[2]D_Est_Org_Q8!J16</f>
        <v>31651.029470000012</v>
      </c>
      <c r="K11" s="197">
        <f>+[2]D_Est_Org_Q8!K16</f>
        <v>1658.3165000000001</v>
      </c>
      <c r="L11" s="197">
        <f>+[2]D_Est_Org_Q8!L16</f>
        <v>653.53387999999995</v>
      </c>
      <c r="M11" s="197">
        <f>+[2]D_Est_Org_Q8!M16</f>
        <v>72324.231450000007</v>
      </c>
      <c r="N11" s="197">
        <f>+[2]D_Est_Org_Q8!N16</f>
        <v>122454.14470000003</v>
      </c>
    </row>
    <row r="12" spans="2:16" ht="15" customHeight="1">
      <c r="B12" s="195"/>
      <c r="C12" s="104" t="str">
        <f>+IF(Índice!$D$2=1,"Juros e outros encargos","Interests and other charges")</f>
        <v>Juros e outros encargos</v>
      </c>
      <c r="D12" s="198">
        <f>+[2]D_Est_Org_Q8!D17</f>
        <v>0</v>
      </c>
      <c r="E12" s="198">
        <f>+[2]D_Est_Org_Q8!E17</f>
        <v>0.27295999999999998</v>
      </c>
      <c r="F12" s="198">
        <f>+[2]D_Est_Org_Q8!F17</f>
        <v>9.35473</v>
      </c>
      <c r="G12" s="198">
        <f>+[2]D_Est_Org_Q8!G17</f>
        <v>4.4740000000000002E-2</v>
      </c>
      <c r="H12" s="198">
        <f>+[2]D_Est_Org_Q8!H17</f>
        <v>0</v>
      </c>
      <c r="I12" s="198">
        <f>+[2]D_Est_Org_Q8!I17</f>
        <v>0.11090000000000001</v>
      </c>
      <c r="J12" s="198">
        <f>+[2]D_Est_Org_Q8!J17</f>
        <v>108287.42829</v>
      </c>
      <c r="K12" s="198">
        <f>+[2]D_Est_Org_Q8!K17</f>
        <v>0</v>
      </c>
      <c r="L12" s="198">
        <f>+[2]D_Est_Org_Q8!L17</f>
        <v>0</v>
      </c>
      <c r="M12" s="198">
        <f>+[2]D_Est_Org_Q8!M17</f>
        <v>0</v>
      </c>
      <c r="N12" s="198">
        <f>+[2]D_Est_Org_Q8!N17</f>
        <v>108297.21162</v>
      </c>
    </row>
    <row r="13" spans="2:16" ht="15" customHeight="1">
      <c r="B13" s="195"/>
      <c r="C13" s="104" t="str">
        <f>+IF(Índice!$D$2=1,"Transferências correntes","Current transfers")</f>
        <v>Transferências correntes</v>
      </c>
      <c r="D13" s="196">
        <f>+[2]D_Est_Org_Q8!D18</f>
        <v>13220</v>
      </c>
      <c r="E13" s="196">
        <f>+[2]D_Est_Org_Q8!E18</f>
        <v>21.335999999999999</v>
      </c>
      <c r="F13" s="196">
        <f>+[2]D_Est_Org_Q8!F18</f>
        <v>76024.492679999952</v>
      </c>
      <c r="G13" s="196">
        <f>+[2]D_Est_Org_Q8!G18</f>
        <v>20299.775530000003</v>
      </c>
      <c r="H13" s="196">
        <f>+[2]D_Est_Org_Q8!H18</f>
        <v>7545.1163899999992</v>
      </c>
      <c r="I13" s="196">
        <f>+[2]D_Est_Org_Q8!I18</f>
        <v>436760.79193000006</v>
      </c>
      <c r="J13" s="196">
        <f>+[2]D_Est_Org_Q8!J18</f>
        <v>7054.9496199999994</v>
      </c>
      <c r="K13" s="196">
        <f>+[2]D_Est_Org_Q8!K18</f>
        <v>7587.503349999999</v>
      </c>
      <c r="L13" s="196">
        <f>+[2]D_Est_Org_Q8!L18</f>
        <v>14972.70881</v>
      </c>
      <c r="M13" s="196">
        <f>+[2]D_Est_Org_Q8!M18</f>
        <v>32607.332249999999</v>
      </c>
      <c r="N13" s="196">
        <f>+[2]D_Est_Org_Q8!N18</f>
        <v>616094.00655999989</v>
      </c>
    </row>
    <row r="14" spans="2:16" ht="15" customHeight="1">
      <c r="B14" s="195"/>
      <c r="C14" s="109" t="str">
        <f>IF(Índice!$D$2=1,"Administração Pública","Public Administration")</f>
        <v>Administração Pública</v>
      </c>
      <c r="D14" s="200">
        <f>+[2]D_Est_Org_Q8!D19</f>
        <v>13220</v>
      </c>
      <c r="E14" s="200">
        <f>+[2]D_Est_Org_Q8!E19</f>
        <v>0</v>
      </c>
      <c r="F14" s="200">
        <f>+[2]D_Est_Org_Q8!F19</f>
        <v>21510.676209999994</v>
      </c>
      <c r="G14" s="200">
        <f>+[2]D_Est_Org_Q8!G19</f>
        <v>7636.7188899999992</v>
      </c>
      <c r="H14" s="200">
        <f>+[2]D_Est_Org_Q8!H19</f>
        <v>6699.9963899999993</v>
      </c>
      <c r="I14" s="200">
        <f>+[2]D_Est_Org_Q8!I19</f>
        <v>436168.36209000007</v>
      </c>
      <c r="J14" s="200">
        <f>+[2]D_Est_Org_Q8!J19</f>
        <v>6863.3419699999995</v>
      </c>
      <c r="K14" s="200">
        <f>+[2]D_Est_Org_Q8!K19</f>
        <v>4487.2043599999997</v>
      </c>
      <c r="L14" s="200">
        <f>+[2]D_Est_Org_Q8!L19</f>
        <v>4410.2837</v>
      </c>
      <c r="M14" s="200">
        <f>+[2]D_Est_Org_Q8!M19</f>
        <v>32558.753789999999</v>
      </c>
      <c r="N14" s="200">
        <f>+[2]D_Est_Org_Q8!N19</f>
        <v>533555.33740000008</v>
      </c>
    </row>
    <row r="15" spans="2:16" ht="15" customHeight="1">
      <c r="B15" s="195"/>
      <c r="C15" s="201" t="str">
        <f>IF(Índice!$D$2=1,"Administração Central","Central Administration")</f>
        <v>Administração Central</v>
      </c>
      <c r="D15" s="197">
        <f>+[2]D_Est_Org_Q8!D20</f>
        <v>0</v>
      </c>
      <c r="E15" s="197">
        <f>+[2]D_Est_Org_Q8!E20</f>
        <v>0</v>
      </c>
      <c r="F15" s="197">
        <f>+[2]D_Est_Org_Q8!F20</f>
        <v>0</v>
      </c>
      <c r="G15" s="197">
        <f>+[2]D_Est_Org_Q8!G20</f>
        <v>0</v>
      </c>
      <c r="H15" s="197">
        <f>+[2]D_Est_Org_Q8!H20</f>
        <v>0</v>
      </c>
      <c r="I15" s="197">
        <f>+[2]D_Est_Org_Q8!I20</f>
        <v>0</v>
      </c>
      <c r="J15" s="197">
        <f>+[2]D_Est_Org_Q8!J20</f>
        <v>0</v>
      </c>
      <c r="K15" s="197">
        <f>+[2]D_Est_Org_Q8!K20</f>
        <v>50</v>
      </c>
      <c r="L15" s="197">
        <f>+[2]D_Est_Org_Q8!L20</f>
        <v>0</v>
      </c>
      <c r="M15" s="197">
        <f>+[2]D_Est_Org_Q8!M20</f>
        <v>0</v>
      </c>
      <c r="N15" s="197">
        <f>+[2]D_Est_Org_Q8!N20</f>
        <v>50</v>
      </c>
    </row>
    <row r="16" spans="2:16" ht="15" customHeight="1">
      <c r="B16" s="195"/>
      <c r="C16" s="201" t="str">
        <f>IF(Índice!$D$2=1,"Administração Regional","Regional Administration")</f>
        <v>Administração Regional</v>
      </c>
      <c r="D16" s="198">
        <f>+[2]D_Est_Org_Q8!D21</f>
        <v>13220</v>
      </c>
      <c r="E16" s="198">
        <f>+[2]D_Est_Org_Q8!E21</f>
        <v>0</v>
      </c>
      <c r="F16" s="198">
        <f>+[2]D_Est_Org_Q8!F21</f>
        <v>21510.676209999994</v>
      </c>
      <c r="G16" s="198">
        <f>+[2]D_Est_Org_Q8!G21</f>
        <v>7636.7188899999992</v>
      </c>
      <c r="H16" s="198">
        <f>+[2]D_Est_Org_Q8!H21</f>
        <v>6699.9963899999993</v>
      </c>
      <c r="I16" s="198">
        <f>+[2]D_Est_Org_Q8!I21</f>
        <v>436168.36209000007</v>
      </c>
      <c r="J16" s="198">
        <f>+[2]D_Est_Org_Q8!J21</f>
        <v>6863.3419699999995</v>
      </c>
      <c r="K16" s="198">
        <f>+[2]D_Est_Org_Q8!K21</f>
        <v>4437.2043599999997</v>
      </c>
      <c r="L16" s="198">
        <f>+[2]D_Est_Org_Q8!L21</f>
        <v>4410.2837</v>
      </c>
      <c r="M16" s="198">
        <f>+[2]D_Est_Org_Q8!M21</f>
        <v>32558.753789999999</v>
      </c>
      <c r="N16" s="198">
        <f>+[2]D_Est_Org_Q8!N21</f>
        <v>533505.33740000008</v>
      </c>
    </row>
    <row r="17" spans="2:14" ht="15" customHeight="1">
      <c r="B17" s="195"/>
      <c r="C17" s="201" t="str">
        <f>IF(Índice!$D$2=1,"Administração Local","Local Administration")</f>
        <v>Administração Local</v>
      </c>
      <c r="D17" s="197">
        <f>+[2]D_Est_Org_Q8!D22</f>
        <v>0</v>
      </c>
      <c r="E17" s="197">
        <f>+[2]D_Est_Org_Q8!E22</f>
        <v>0</v>
      </c>
      <c r="F17" s="197">
        <f>+[2]D_Est_Org_Q8!F22</f>
        <v>0</v>
      </c>
      <c r="G17" s="197">
        <f>+[2]D_Est_Org_Q8!G22</f>
        <v>0</v>
      </c>
      <c r="H17" s="197">
        <f>+[2]D_Est_Org_Q8!H22</f>
        <v>0</v>
      </c>
      <c r="I17" s="197">
        <f>+[2]D_Est_Org_Q8!I22</f>
        <v>0</v>
      </c>
      <c r="J17" s="197">
        <f>+[2]D_Est_Org_Q8!J22</f>
        <v>0</v>
      </c>
      <c r="K17" s="197">
        <f>+[2]D_Est_Org_Q8!K22</f>
        <v>0</v>
      </c>
      <c r="L17" s="197">
        <f>+[2]D_Est_Org_Q8!L22</f>
        <v>0</v>
      </c>
      <c r="M17" s="197">
        <f>+[2]D_Est_Org_Q8!M22</f>
        <v>0</v>
      </c>
      <c r="N17" s="197">
        <f>+[2]D_Est_Org_Q8!N22</f>
        <v>0</v>
      </c>
    </row>
    <row r="18" spans="2:14" ht="15" customHeight="1">
      <c r="B18" s="195"/>
      <c r="C18" s="201" t="str">
        <f>+IF(Índice!$D$2=1,"Segurança social","Social security")</f>
        <v>Segurança social</v>
      </c>
      <c r="D18" s="197">
        <f>+[2]D_Est_Org_Q8!D23</f>
        <v>0</v>
      </c>
      <c r="E18" s="197">
        <f>+[2]D_Est_Org_Q8!E23</f>
        <v>0</v>
      </c>
      <c r="F18" s="197">
        <f>+[2]D_Est_Org_Q8!F23</f>
        <v>0</v>
      </c>
      <c r="G18" s="197">
        <f>+[2]D_Est_Org_Q8!G23</f>
        <v>0</v>
      </c>
      <c r="H18" s="197">
        <f>+[2]D_Est_Org_Q8!H23</f>
        <v>0</v>
      </c>
      <c r="I18" s="197">
        <f>+[2]D_Est_Org_Q8!I23</f>
        <v>0</v>
      </c>
      <c r="J18" s="197">
        <f>+[2]D_Est_Org_Q8!J23</f>
        <v>0</v>
      </c>
      <c r="K18" s="197">
        <f>+[2]D_Est_Org_Q8!K23</f>
        <v>0</v>
      </c>
      <c r="L18" s="197">
        <f>+[2]D_Est_Org_Q8!L23</f>
        <v>0</v>
      </c>
      <c r="M18" s="197">
        <f>+[2]D_Est_Org_Q8!M23</f>
        <v>0</v>
      </c>
      <c r="N18" s="197">
        <f>+[2]D_Est_Org_Q8!N23</f>
        <v>0</v>
      </c>
    </row>
    <row r="19" spans="2:14" ht="15" customHeight="1">
      <c r="B19" s="195"/>
      <c r="C19" s="109" t="str">
        <f>+IF(Índice!$D$2=1,"Outras transferências correntes","Other current transfers")</f>
        <v>Outras transferências correntes</v>
      </c>
      <c r="D19" s="200">
        <f>+[2]D_Est_Org_Q8!D24</f>
        <v>0</v>
      </c>
      <c r="E19" s="200">
        <f>+[2]D_Est_Org_Q8!E24</f>
        <v>21.335999999999999</v>
      </c>
      <c r="F19" s="200">
        <f>+[2]D_Est_Org_Q8!F24</f>
        <v>54513.816469999954</v>
      </c>
      <c r="G19" s="200">
        <f>+[2]D_Est_Org_Q8!G24</f>
        <v>12663.056640000003</v>
      </c>
      <c r="H19" s="200">
        <f>+[2]D_Est_Org_Q8!H24</f>
        <v>845.12</v>
      </c>
      <c r="I19" s="200">
        <f>+[2]D_Est_Org_Q8!I24</f>
        <v>592.42984000000001</v>
      </c>
      <c r="J19" s="200">
        <f>+[2]D_Est_Org_Q8!J24</f>
        <v>191.60764999999998</v>
      </c>
      <c r="K19" s="200">
        <f>+[2]D_Est_Org_Q8!K24</f>
        <v>3100.2989899999993</v>
      </c>
      <c r="L19" s="200">
        <f>+[2]D_Est_Org_Q8!L24</f>
        <v>10562.42511</v>
      </c>
      <c r="M19" s="200">
        <f>+[2]D_Est_Org_Q8!M24</f>
        <v>48.57846</v>
      </c>
      <c r="N19" s="200">
        <f>+[2]D_Est_Org_Q8!N24</f>
        <v>82538.669159999961</v>
      </c>
    </row>
    <row r="20" spans="2:14" hidden="1">
      <c r="B20" s="195"/>
      <c r="C20" s="187">
        <v>0</v>
      </c>
      <c r="D20" s="198">
        <f>+[2]D_Est_Org_Q8!D25</f>
        <v>0</v>
      </c>
      <c r="E20" s="198">
        <f>+[2]D_Est_Org_Q8!E25</f>
        <v>0</v>
      </c>
      <c r="F20" s="198">
        <f>+[2]D_Est_Org_Q8!F25</f>
        <v>19128.215879999982</v>
      </c>
      <c r="G20" s="198">
        <f>+[2]D_Est_Org_Q8!G25</f>
        <v>0.17499999999999999</v>
      </c>
      <c r="H20" s="198">
        <f>+[2]D_Est_Org_Q8!H25</f>
        <v>391.6</v>
      </c>
      <c r="I20" s="198">
        <f>+[2]D_Est_Org_Q8!I25</f>
        <v>0</v>
      </c>
      <c r="J20" s="198">
        <f>+[2]D_Est_Org_Q8!J25</f>
        <v>0</v>
      </c>
      <c r="K20" s="198">
        <f>+[2]D_Est_Org_Q8!K25</f>
        <v>0</v>
      </c>
      <c r="L20" s="198">
        <f>+[2]D_Est_Org_Q8!L25</f>
        <v>0</v>
      </c>
      <c r="M20" s="198">
        <f>+[2]D_Est_Org_Q8!M25</f>
        <v>5.64466</v>
      </c>
      <c r="N20" s="198">
        <f>+[2]D_Est_Org_Q8!N25</f>
        <v>19525.635539999981</v>
      </c>
    </row>
    <row r="21" spans="2:14" hidden="1">
      <c r="B21" s="195"/>
      <c r="C21" s="104">
        <v>0</v>
      </c>
      <c r="D21" s="198">
        <f>+[2]D_Est_Org_Q8!D26</f>
        <v>0</v>
      </c>
      <c r="E21" s="198">
        <f>+[2]D_Est_Org_Q8!E26</f>
        <v>0</v>
      </c>
      <c r="F21" s="198">
        <f>+[2]D_Est_Org_Q8!F26</f>
        <v>0</v>
      </c>
      <c r="G21" s="198">
        <f>+[2]D_Est_Org_Q8!G26</f>
        <v>0</v>
      </c>
      <c r="H21" s="198">
        <f>+[2]D_Est_Org_Q8!H26</f>
        <v>0</v>
      </c>
      <c r="I21" s="198">
        <f>+[2]D_Est_Org_Q8!I26</f>
        <v>0</v>
      </c>
      <c r="J21" s="198">
        <f>+[2]D_Est_Org_Q8!J26</f>
        <v>0</v>
      </c>
      <c r="K21" s="198">
        <f>+[2]D_Est_Org_Q8!K26</f>
        <v>0</v>
      </c>
      <c r="L21" s="198">
        <f>+[2]D_Est_Org_Q8!L26</f>
        <v>0</v>
      </c>
      <c r="M21" s="198">
        <f>+[2]D_Est_Org_Q8!M26</f>
        <v>0</v>
      </c>
      <c r="N21" s="198">
        <f>+[2]D_Est_Org_Q8!N26</f>
        <v>0</v>
      </c>
    </row>
    <row r="22" spans="2:14" hidden="1">
      <c r="B22" s="195"/>
      <c r="C22" s="104">
        <v>0</v>
      </c>
      <c r="D22" s="198">
        <f>+[2]D_Est_Org_Q8!D27</f>
        <v>0</v>
      </c>
      <c r="E22" s="198">
        <f>+[2]D_Est_Org_Q8!E27</f>
        <v>20.5</v>
      </c>
      <c r="F22" s="198">
        <f>+[2]D_Est_Org_Q8!F27</f>
        <v>30423.76989999997</v>
      </c>
      <c r="G22" s="198">
        <f>+[2]D_Est_Org_Q8!G27</f>
        <v>12432.320220000003</v>
      </c>
      <c r="H22" s="198">
        <f>+[2]D_Est_Org_Q8!H27</f>
        <v>450</v>
      </c>
      <c r="I22" s="198">
        <f>+[2]D_Est_Org_Q8!I27</f>
        <v>561.75</v>
      </c>
      <c r="J22" s="198">
        <f>+[2]D_Est_Org_Q8!J27</f>
        <v>49.089959999999998</v>
      </c>
      <c r="K22" s="198">
        <f>+[2]D_Est_Org_Q8!K27</f>
        <v>3050.2867399999996</v>
      </c>
      <c r="L22" s="198">
        <f>+[2]D_Est_Org_Q8!L27</f>
        <v>6114.8064999999988</v>
      </c>
      <c r="M22" s="198">
        <f>+[2]D_Est_Org_Q8!M27</f>
        <v>0.3</v>
      </c>
      <c r="N22" s="198">
        <f>+[2]D_Est_Org_Q8!N27</f>
        <v>53102.823319999974</v>
      </c>
    </row>
    <row r="23" spans="2:14" hidden="1">
      <c r="B23" s="195"/>
      <c r="C23" s="104">
        <v>0</v>
      </c>
      <c r="D23" s="198">
        <f>+[2]D_Est_Org_Q8!D28</f>
        <v>0</v>
      </c>
      <c r="E23" s="198">
        <f>+[2]D_Est_Org_Q8!E28</f>
        <v>0.83599999999999997</v>
      </c>
      <c r="F23" s="198">
        <f>+[2]D_Est_Org_Q8!F28</f>
        <v>4958.5306899999996</v>
      </c>
      <c r="G23" s="198">
        <f>+[2]D_Est_Org_Q8!G28</f>
        <v>200.97042000000002</v>
      </c>
      <c r="H23" s="198">
        <f>+[2]D_Est_Org_Q8!H28</f>
        <v>3.52</v>
      </c>
      <c r="I23" s="198">
        <f>+[2]D_Est_Org_Q8!I28</f>
        <v>30.679839999999999</v>
      </c>
      <c r="J23" s="198">
        <f>+[2]D_Est_Org_Q8!J28</f>
        <v>115.56769</v>
      </c>
      <c r="K23" s="198">
        <f>+[2]D_Est_Org_Q8!K28</f>
        <v>50.012249999999995</v>
      </c>
      <c r="L23" s="198">
        <f>+[2]D_Est_Org_Q8!L28</f>
        <v>4447.6186100000004</v>
      </c>
      <c r="M23" s="198">
        <f>+[2]D_Est_Org_Q8!M28</f>
        <v>42.633800000000001</v>
      </c>
      <c r="N23" s="198">
        <f>+[2]D_Est_Org_Q8!N28</f>
        <v>9850.3692999999985</v>
      </c>
    </row>
    <row r="24" spans="2:14" hidden="1">
      <c r="B24" s="195"/>
      <c r="C24" s="187">
        <v>0</v>
      </c>
      <c r="D24" s="198">
        <f>+[2]D_Est_Org_Q8!D29</f>
        <v>0</v>
      </c>
      <c r="E24" s="198">
        <f>+[2]D_Est_Org_Q8!E29</f>
        <v>0</v>
      </c>
      <c r="F24" s="198">
        <f>+[2]D_Est_Org_Q8!F29</f>
        <v>3.3</v>
      </c>
      <c r="G24" s="198">
        <f>+[2]D_Est_Org_Q8!G29</f>
        <v>29.591000000000001</v>
      </c>
      <c r="H24" s="198">
        <f>+[2]D_Est_Org_Q8!H29</f>
        <v>0</v>
      </c>
      <c r="I24" s="198">
        <f>+[2]D_Est_Org_Q8!I29</f>
        <v>0</v>
      </c>
      <c r="J24" s="198">
        <f>+[2]D_Est_Org_Q8!J29</f>
        <v>26.95</v>
      </c>
      <c r="K24" s="198">
        <f>+[2]D_Est_Org_Q8!K29</f>
        <v>0</v>
      </c>
      <c r="L24" s="198">
        <f>+[2]D_Est_Org_Q8!L29</f>
        <v>0</v>
      </c>
      <c r="M24" s="198">
        <f>+[2]D_Est_Org_Q8!M29</f>
        <v>0</v>
      </c>
      <c r="N24" s="198">
        <f>+[2]D_Est_Org_Q8!N29</f>
        <v>59.840999999999994</v>
      </c>
    </row>
    <row r="25" spans="2:14" ht="15" customHeight="1">
      <c r="B25" s="195"/>
      <c r="C25" s="104" t="str">
        <f>+IF(Índice!$D$2=1,"Subsídios","Subsidies")</f>
        <v>Subsídios</v>
      </c>
      <c r="D25" s="198">
        <f>+[2]D_Est_Org_Q8!D30</f>
        <v>0</v>
      </c>
      <c r="E25" s="198">
        <f>+[2]D_Est_Org_Q8!E30</f>
        <v>0</v>
      </c>
      <c r="F25" s="198">
        <f>+[2]D_Est_Org_Q8!F30</f>
        <v>0</v>
      </c>
      <c r="G25" s="198">
        <f>+[2]D_Est_Org_Q8!G30</f>
        <v>0</v>
      </c>
      <c r="H25" s="198">
        <f>+[2]D_Est_Org_Q8!H30</f>
        <v>0</v>
      </c>
      <c r="I25" s="198">
        <f>+[2]D_Est_Org_Q8!I30</f>
        <v>0</v>
      </c>
      <c r="J25" s="198">
        <f>+[2]D_Est_Org_Q8!J30</f>
        <v>0</v>
      </c>
      <c r="K25" s="198">
        <f>+[2]D_Est_Org_Q8!K30</f>
        <v>3483.7882200000004</v>
      </c>
      <c r="L25" s="198">
        <f>+[2]D_Est_Org_Q8!L30</f>
        <v>0</v>
      </c>
      <c r="M25" s="198">
        <f>+[2]D_Est_Org_Q8!M30</f>
        <v>1883.88571</v>
      </c>
      <c r="N25" s="198">
        <f>+[2]D_Est_Org_Q8!N30</f>
        <v>5367.6739300000008</v>
      </c>
    </row>
    <row r="26" spans="2:14" ht="15" customHeight="1">
      <c r="B26" s="195"/>
      <c r="C26" s="104" t="str">
        <f>+IF(Índice!$D$2=1,"Outras despesas correntes","Other current expenditures")</f>
        <v>Outras despesas correntes</v>
      </c>
      <c r="D26" s="198">
        <f>+[2]D_Est_Org_Q8!D31</f>
        <v>0</v>
      </c>
      <c r="E26" s="198">
        <f>+[2]D_Est_Org_Q8!E31</f>
        <v>0</v>
      </c>
      <c r="F26" s="198">
        <f>+[2]D_Est_Org_Q8!F31</f>
        <v>31.29186</v>
      </c>
      <c r="G26" s="198">
        <f>+[2]D_Est_Org_Q8!G31</f>
        <v>3.76864</v>
      </c>
      <c r="H26" s="198">
        <f>+[2]D_Est_Org_Q8!H31</f>
        <v>0.5</v>
      </c>
      <c r="I26" s="198">
        <f>+[2]D_Est_Org_Q8!I31</f>
        <v>3.5521099999999999</v>
      </c>
      <c r="J26" s="198">
        <f>+[2]D_Est_Org_Q8!J31</f>
        <v>623.95811000000015</v>
      </c>
      <c r="K26" s="198">
        <f>+[2]D_Est_Org_Q8!K31</f>
        <v>68.916359999999997</v>
      </c>
      <c r="L26" s="198">
        <f>+[2]D_Est_Org_Q8!L31</f>
        <v>2.06E-2</v>
      </c>
      <c r="M26" s="198">
        <f>+[2]D_Est_Org_Q8!M31</f>
        <v>59.431059999999995</v>
      </c>
      <c r="N26" s="198">
        <f>+[2]D_Est_Org_Q8!N31</f>
        <v>791.43874000000005</v>
      </c>
    </row>
    <row r="27" spans="2:14" ht="24.95" customHeight="1">
      <c r="B27" s="195"/>
      <c r="C27" s="202" t="str">
        <f>+IF(Índice!$D$2=1,"Despesa de capital","Capital expenditure")</f>
        <v>Despesa de capital</v>
      </c>
      <c r="D27" s="32">
        <f>+[2]D_Est_Org_Q8!D32</f>
        <v>135</v>
      </c>
      <c r="E27" s="32">
        <f>+[2]D_Est_Org_Q8!E32</f>
        <v>4.5031400000000001</v>
      </c>
      <c r="F27" s="32">
        <f>+[2]D_Est_Org_Q8!F32</f>
        <v>4460.7545499999997</v>
      </c>
      <c r="G27" s="32">
        <f>+[2]D_Est_Org_Q8!G32</f>
        <v>1044.8912600000001</v>
      </c>
      <c r="H27" s="32">
        <f>+[2]D_Est_Org_Q8!H32</f>
        <v>5429.963029999999</v>
      </c>
      <c r="I27" s="32">
        <f>+[2]D_Est_Org_Q8!I32</f>
        <v>1273.7297599999997</v>
      </c>
      <c r="J27" s="32">
        <f>+[2]D_Est_Org_Q8!J32</f>
        <v>24564.910910000006</v>
      </c>
      <c r="K27" s="32">
        <f>+[2]D_Est_Org_Q8!K32</f>
        <v>10033.74957</v>
      </c>
      <c r="L27" s="32">
        <f>+[2]D_Est_Org_Q8!L32</f>
        <v>13948.58165</v>
      </c>
      <c r="M27" s="32">
        <f>+[2]D_Est_Org_Q8!M32</f>
        <v>82049.727829999989</v>
      </c>
      <c r="N27" s="32">
        <f>+[2]D_Est_Org_Q8!N32</f>
        <v>142945.81169999999</v>
      </c>
    </row>
    <row r="28" spans="2:14" ht="15" customHeight="1">
      <c r="B28" s="195"/>
      <c r="C28" s="104" t="str">
        <f>+IF(Índice!$D$2=1,"Investimento","Investment")</f>
        <v>Investimento</v>
      </c>
      <c r="D28" s="198">
        <f>+[2]D_Est_Org_Q8!D33</f>
        <v>0</v>
      </c>
      <c r="E28" s="198">
        <f>+[2]D_Est_Org_Q8!E33</f>
        <v>4.5031400000000001</v>
      </c>
      <c r="F28" s="198">
        <f>+[2]D_Est_Org_Q8!F33</f>
        <v>2802.61049</v>
      </c>
      <c r="G28" s="198">
        <f>+[2]D_Est_Org_Q8!G33</f>
        <v>991.3575400000002</v>
      </c>
      <c r="H28" s="198">
        <f>+[2]D_Est_Org_Q8!H33</f>
        <v>39.813010000000006</v>
      </c>
      <c r="I28" s="198">
        <f>+[2]D_Est_Org_Q8!I33</f>
        <v>8.084439999999999</v>
      </c>
      <c r="J28" s="198">
        <f>+[2]D_Est_Org_Q8!J33</f>
        <v>12854.815650000006</v>
      </c>
      <c r="K28" s="198">
        <f>+[2]D_Est_Org_Q8!K33</f>
        <v>119.77657000000001</v>
      </c>
      <c r="L28" s="198">
        <f>+[2]D_Est_Org_Q8!L33</f>
        <v>1292.3263599999998</v>
      </c>
      <c r="M28" s="198">
        <f>+[2]D_Est_Org_Q8!M33</f>
        <v>47558.554189999981</v>
      </c>
      <c r="N28" s="198">
        <f>+[2]D_Est_Org_Q8!N33</f>
        <v>65671.841389999987</v>
      </c>
    </row>
    <row r="29" spans="2:14" ht="15" customHeight="1">
      <c r="C29" s="104" t="str">
        <f>+IF(Índice!$D$2=1,"Transferências capital","Capital transfers")</f>
        <v>Transferências capital</v>
      </c>
      <c r="D29" s="196">
        <f>+[2]D_Est_Org_Q8!D34</f>
        <v>135</v>
      </c>
      <c r="E29" s="196">
        <f>+[2]D_Est_Org_Q8!E34</f>
        <v>0</v>
      </c>
      <c r="F29" s="196">
        <f>+[2]D_Est_Org_Q8!F34</f>
        <v>1658.1440600000001</v>
      </c>
      <c r="G29" s="196">
        <f>+[2]D_Est_Org_Q8!G34</f>
        <v>53.533720000000002</v>
      </c>
      <c r="H29" s="196">
        <f>+[2]D_Est_Org_Q8!H34</f>
        <v>5390.1500199999991</v>
      </c>
      <c r="I29" s="196">
        <f>+[2]D_Est_Org_Q8!I34</f>
        <v>1265.6453199999996</v>
      </c>
      <c r="J29" s="196">
        <f>+[2]D_Est_Org_Q8!J34</f>
        <v>11710.09526</v>
      </c>
      <c r="K29" s="196">
        <f>+[2]D_Est_Org_Q8!K34</f>
        <v>9913.973</v>
      </c>
      <c r="L29" s="196">
        <f>+[2]D_Est_Org_Q8!L34</f>
        <v>12656.255290000001</v>
      </c>
      <c r="M29" s="196">
        <f>+[2]D_Est_Org_Q8!M34</f>
        <v>34491.173640000001</v>
      </c>
      <c r="N29" s="196">
        <f>+[2]D_Est_Org_Q8!N34</f>
        <v>77273.970310000004</v>
      </c>
    </row>
    <row r="30" spans="2:14" ht="15" customHeight="1">
      <c r="C30" s="109" t="str">
        <f>IF(Índice!$D$2=1,"Administração Pública","Public Administration")</f>
        <v>Administração Pública</v>
      </c>
      <c r="D30" s="200">
        <f>+[2]D_Est_Org_Q8!D35</f>
        <v>135</v>
      </c>
      <c r="E30" s="200">
        <f>+[2]D_Est_Org_Q8!E35</f>
        <v>0</v>
      </c>
      <c r="F30" s="200">
        <f>+[2]D_Est_Org_Q8!F35</f>
        <v>1407.43184</v>
      </c>
      <c r="G30" s="200">
        <f>+[2]D_Est_Org_Q8!G35</f>
        <v>53.533720000000002</v>
      </c>
      <c r="H30" s="200">
        <f>+[2]D_Est_Org_Q8!H35</f>
        <v>5390.1500199999991</v>
      </c>
      <c r="I30" s="200">
        <f>+[2]D_Est_Org_Q8!I35</f>
        <v>1237.6453199999996</v>
      </c>
      <c r="J30" s="200">
        <f>+[2]D_Est_Org_Q8!J35</f>
        <v>8449.5952600000001</v>
      </c>
      <c r="K30" s="200">
        <f>+[2]D_Est_Org_Q8!K35</f>
        <v>9913.973</v>
      </c>
      <c r="L30" s="200">
        <f>+[2]D_Est_Org_Q8!L35</f>
        <v>80.687610000000006</v>
      </c>
      <c r="M30" s="200">
        <f>+[2]D_Est_Org_Q8!M35</f>
        <v>34491.173640000001</v>
      </c>
      <c r="N30" s="200">
        <f>+[2]D_Est_Org_Q8!N35</f>
        <v>61159.190409999996</v>
      </c>
    </row>
    <row r="31" spans="2:14" ht="15" customHeight="1">
      <c r="C31" s="201" t="str">
        <f>IF(Índice!$D$2=1,"Administração Central","Central Administration")</f>
        <v>Administração Central</v>
      </c>
      <c r="D31" s="198">
        <f>+[2]D_Est_Org_Q8!D36</f>
        <v>0</v>
      </c>
      <c r="E31" s="198">
        <f>+[2]D_Est_Org_Q8!E36</f>
        <v>0</v>
      </c>
      <c r="F31" s="198">
        <f>+[2]D_Est_Org_Q8!F36</f>
        <v>0</v>
      </c>
      <c r="G31" s="198">
        <f>+[2]D_Est_Org_Q8!G36</f>
        <v>0</v>
      </c>
      <c r="H31" s="198">
        <f>+[2]D_Est_Org_Q8!H36</f>
        <v>0</v>
      </c>
      <c r="I31" s="198">
        <f>+[2]D_Est_Org_Q8!I36</f>
        <v>0</v>
      </c>
      <c r="J31" s="198">
        <f>+[2]D_Est_Org_Q8!J36</f>
        <v>0</v>
      </c>
      <c r="K31" s="198">
        <f>+[2]D_Est_Org_Q8!K36</f>
        <v>9913.973</v>
      </c>
      <c r="L31" s="198">
        <f>+[2]D_Est_Org_Q8!L36</f>
        <v>0</v>
      </c>
      <c r="M31" s="198">
        <f>+[2]D_Est_Org_Q8!M36</f>
        <v>0</v>
      </c>
      <c r="N31" s="198">
        <f>+[2]D_Est_Org_Q8!N36</f>
        <v>9913.973</v>
      </c>
    </row>
    <row r="32" spans="2:14" ht="15" customHeight="1">
      <c r="C32" s="201" t="str">
        <f>IF(Índice!$D$2=1,"Administração Regional","Regional Administration")</f>
        <v>Administração Regional</v>
      </c>
      <c r="D32" s="198">
        <f>+[2]D_Est_Org_Q8!D37</f>
        <v>135</v>
      </c>
      <c r="E32" s="198">
        <f>+[2]D_Est_Org_Q8!E37</f>
        <v>0</v>
      </c>
      <c r="F32" s="198">
        <f>+[2]D_Est_Org_Q8!F37</f>
        <v>1407.43184</v>
      </c>
      <c r="G32" s="198">
        <f>+[2]D_Est_Org_Q8!G37</f>
        <v>53.533720000000002</v>
      </c>
      <c r="H32" s="198">
        <f>+[2]D_Est_Org_Q8!H37</f>
        <v>5390.1500199999991</v>
      </c>
      <c r="I32" s="198">
        <f>+[2]D_Est_Org_Q8!I37</f>
        <v>1237.6453199999996</v>
      </c>
      <c r="J32" s="198">
        <f>+[2]D_Est_Org_Q8!J37</f>
        <v>1341.2467000000001</v>
      </c>
      <c r="K32" s="198">
        <f>+[2]D_Est_Org_Q8!K37</f>
        <v>0</v>
      </c>
      <c r="L32" s="198">
        <f>+[2]D_Est_Org_Q8!L37</f>
        <v>80.687610000000006</v>
      </c>
      <c r="M32" s="198">
        <f>+[2]D_Est_Org_Q8!M37</f>
        <v>34491.173640000001</v>
      </c>
      <c r="N32" s="198">
        <f>+[2]D_Est_Org_Q8!N37</f>
        <v>44136.868849999999</v>
      </c>
    </row>
    <row r="33" spans="1:169" ht="15" customHeight="1">
      <c r="C33" s="201" t="str">
        <f>IF(Índice!$D$2=1,"Administração Local","Local Administration")</f>
        <v>Administração Local</v>
      </c>
      <c r="D33" s="198">
        <f>+[2]D_Est_Org_Q8!D38</f>
        <v>0</v>
      </c>
      <c r="E33" s="198">
        <f>+[2]D_Est_Org_Q8!E38</f>
        <v>0</v>
      </c>
      <c r="F33" s="198">
        <f>+[2]D_Est_Org_Q8!F38</f>
        <v>0</v>
      </c>
      <c r="G33" s="198">
        <f>+[2]D_Est_Org_Q8!G38</f>
        <v>0</v>
      </c>
      <c r="H33" s="198">
        <f>+[2]D_Est_Org_Q8!H38</f>
        <v>0</v>
      </c>
      <c r="I33" s="198">
        <f>+[2]D_Est_Org_Q8!I38</f>
        <v>0</v>
      </c>
      <c r="J33" s="198">
        <f>+[2]D_Est_Org_Q8!J38</f>
        <v>7108.3485600000004</v>
      </c>
      <c r="K33" s="198">
        <f>+[2]D_Est_Org_Q8!K38</f>
        <v>0</v>
      </c>
      <c r="L33" s="198">
        <f>+[2]D_Est_Org_Q8!L38</f>
        <v>0</v>
      </c>
      <c r="M33" s="198">
        <f>+[2]D_Est_Org_Q8!M38</f>
        <v>0</v>
      </c>
      <c r="N33" s="198">
        <f>+[2]D_Est_Org_Q8!N38</f>
        <v>7108.3485600000004</v>
      </c>
    </row>
    <row r="34" spans="1:169" ht="15" customHeight="1">
      <c r="C34" s="201" t="str">
        <f>+IF(Índice!$D$2=1,"Segurança social","Social security")</f>
        <v>Segurança social</v>
      </c>
      <c r="D34" s="198">
        <f>+[2]D_Est_Org_Q8!D39</f>
        <v>0</v>
      </c>
      <c r="E34" s="198">
        <f>+[2]D_Est_Org_Q8!E39</f>
        <v>0</v>
      </c>
      <c r="F34" s="198">
        <f>+[2]D_Est_Org_Q8!F39</f>
        <v>0</v>
      </c>
      <c r="G34" s="198">
        <f>+[2]D_Est_Org_Q8!G39</f>
        <v>0</v>
      </c>
      <c r="H34" s="198">
        <f>+[2]D_Est_Org_Q8!H39</f>
        <v>0</v>
      </c>
      <c r="I34" s="198">
        <f>+[2]D_Est_Org_Q8!I39</f>
        <v>0</v>
      </c>
      <c r="J34" s="198">
        <f>+[2]D_Est_Org_Q8!J39</f>
        <v>0</v>
      </c>
      <c r="K34" s="198">
        <f>+[2]D_Est_Org_Q8!K39</f>
        <v>0</v>
      </c>
      <c r="L34" s="198">
        <f>+[2]D_Est_Org_Q8!L39</f>
        <v>0</v>
      </c>
      <c r="M34" s="198">
        <f>+[2]D_Est_Org_Q8!M39</f>
        <v>0</v>
      </c>
      <c r="N34" s="198">
        <f>+[2]D_Est_Org_Q8!N39</f>
        <v>0</v>
      </c>
    </row>
    <row r="35" spans="1:169" ht="15" customHeight="1">
      <c r="C35" s="109" t="str">
        <f>+IF(Índice!$D$2=1,"Outras transferências de capital","Other capital transfers")</f>
        <v>Outras transferências de capital</v>
      </c>
      <c r="D35" s="200">
        <f>+[2]D_Est_Org_Q8!D40</f>
        <v>0</v>
      </c>
      <c r="E35" s="200">
        <f>+[2]D_Est_Org_Q8!E40</f>
        <v>0</v>
      </c>
      <c r="F35" s="200">
        <f>+[2]D_Est_Org_Q8!F40</f>
        <v>250.71222</v>
      </c>
      <c r="G35" s="200">
        <f>+[2]D_Est_Org_Q8!G40</f>
        <v>0</v>
      </c>
      <c r="H35" s="200">
        <f>+[2]D_Est_Org_Q8!H40</f>
        <v>0</v>
      </c>
      <c r="I35" s="200">
        <f>+[2]D_Est_Org_Q8!I40</f>
        <v>28</v>
      </c>
      <c r="J35" s="200">
        <f>+[2]D_Est_Org_Q8!J40</f>
        <v>3260.5</v>
      </c>
      <c r="K35" s="200">
        <f>+[2]D_Est_Org_Q8!K40</f>
        <v>0</v>
      </c>
      <c r="L35" s="200">
        <f>+[2]D_Est_Org_Q8!L40</f>
        <v>12575.56768</v>
      </c>
      <c r="M35" s="200">
        <f>+[2]D_Est_Org_Q8!M40</f>
        <v>0</v>
      </c>
      <c r="N35" s="200">
        <f>+[2]D_Est_Org_Q8!N40</f>
        <v>16114.7799</v>
      </c>
    </row>
    <row r="36" spans="1:169" ht="15" customHeight="1">
      <c r="C36" s="132" t="s">
        <v>10</v>
      </c>
      <c r="D36" s="203">
        <f>+[2]D_Est_Org_Q8!D46</f>
        <v>0</v>
      </c>
      <c r="E36" s="203">
        <f>+[2]D_Est_Org_Q8!E46</f>
        <v>0</v>
      </c>
      <c r="F36" s="203">
        <f>+[2]D_Est_Org_Q8!F46</f>
        <v>0</v>
      </c>
      <c r="G36" s="203">
        <f>+[2]D_Est_Org_Q8!G46</f>
        <v>0</v>
      </c>
      <c r="H36" s="203">
        <f>+[2]D_Est_Org_Q8!H46</f>
        <v>0</v>
      </c>
      <c r="I36" s="203">
        <f>+[2]D_Est_Org_Q8!I46</f>
        <v>0</v>
      </c>
      <c r="J36" s="203">
        <f>+[2]D_Est_Org_Q8!J46</f>
        <v>0</v>
      </c>
      <c r="K36" s="203">
        <f>+[2]D_Est_Org_Q8!K46</f>
        <v>0</v>
      </c>
      <c r="L36" s="203">
        <f>+[2]D_Est_Org_Q8!L46</f>
        <v>0</v>
      </c>
      <c r="M36" s="203">
        <f>+[2]D_Est_Org_Q8!M46</f>
        <v>0</v>
      </c>
      <c r="N36" s="203">
        <f>+[2]D_Est_Org_Q8!N46</f>
        <v>0</v>
      </c>
    </row>
    <row r="37" spans="1:169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1:169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f>+[2]D_Est_Org_Q8!D48</f>
        <v>13355</v>
      </c>
      <c r="E38" s="204">
        <f>+[2]D_Est_Org_Q8!E48</f>
        <v>2366.3303099999994</v>
      </c>
      <c r="F38" s="204">
        <f>+[2]D_Est_Org_Q8!F48</f>
        <v>443902.61460000003</v>
      </c>
      <c r="G38" s="204">
        <f>+[2]D_Est_Org_Q8!G48</f>
        <v>46613.578180000004</v>
      </c>
      <c r="H38" s="204">
        <f>+[2]D_Est_Org_Q8!H48</f>
        <v>17377.264779999998</v>
      </c>
      <c r="I38" s="204">
        <f>+[2]D_Est_Org_Q8!I48</f>
        <v>444061.88903000008</v>
      </c>
      <c r="J38" s="204">
        <f>+[2]D_Est_Org_Q8!J48</f>
        <v>204353.40049000006</v>
      </c>
      <c r="K38" s="204">
        <f>+[2]D_Est_Org_Q8!K48</f>
        <v>45954.820000000014</v>
      </c>
      <c r="L38" s="204">
        <f>+[2]D_Est_Org_Q8!L48</f>
        <v>37333.234389999998</v>
      </c>
      <c r="M38" s="204">
        <f>+[2]D_Est_Org_Q8!M48</f>
        <v>206849.45220999999</v>
      </c>
      <c r="N38" s="204">
        <f>+[2]D_Est_Org_Q8!N48</f>
        <v>1462167.5839900004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</row>
    <row r="39" spans="1:169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1:169">
      <c r="C40" s="207" t="str">
        <f>+IF(Índice!$D$2=1,"Ativos financeiros","Financial assets")</f>
        <v>Ativos financeiros</v>
      </c>
      <c r="D40" s="208">
        <f>+[2]D_Est_Org_Q8!D50</f>
        <v>0</v>
      </c>
      <c r="E40" s="208">
        <f>+[2]D_Est_Org_Q8!E50</f>
        <v>0</v>
      </c>
      <c r="F40" s="208">
        <f>+[2]D_Est_Org_Q8!F50</f>
        <v>0</v>
      </c>
      <c r="G40" s="208">
        <f>+[2]D_Est_Org_Q8!G50</f>
        <v>0</v>
      </c>
      <c r="H40" s="208">
        <f>+[2]D_Est_Org_Q8!H50</f>
        <v>11641.628970000002</v>
      </c>
      <c r="I40" s="208">
        <f>+[2]D_Est_Org_Q8!I50</f>
        <v>40000</v>
      </c>
      <c r="J40" s="208">
        <f>+[2]D_Est_Org_Q8!J50</f>
        <v>0</v>
      </c>
      <c r="K40" s="208">
        <f>+[2]D_Est_Org_Q8!K50</f>
        <v>334</v>
      </c>
      <c r="L40" s="208">
        <f>+[2]D_Est_Org_Q8!L50</f>
        <v>0</v>
      </c>
      <c r="M40" s="208">
        <f>+[2]D_Est_Org_Q8!M50</f>
        <v>608.14400000000001</v>
      </c>
      <c r="N40" s="208">
        <f>+[2]D_Est_Org_Q8!N50</f>
        <v>52583.772970000005</v>
      </c>
    </row>
    <row r="41" spans="1:169">
      <c r="C41" s="209" t="str">
        <f>+IF(Índice!$D$2=1,"Passivos financeiros","Financial liabilities")</f>
        <v>Passivos financeiros</v>
      </c>
      <c r="D41" s="200">
        <f>+[2]D_Est_Org_Q8!D51</f>
        <v>0</v>
      </c>
      <c r="E41" s="200">
        <f>+[2]D_Est_Org_Q8!E51</f>
        <v>0</v>
      </c>
      <c r="F41" s="200">
        <f>+[2]D_Est_Org_Q8!F51</f>
        <v>0</v>
      </c>
      <c r="G41" s="200">
        <f>+[2]D_Est_Org_Q8!G51</f>
        <v>0</v>
      </c>
      <c r="H41" s="200">
        <f>+[2]D_Est_Org_Q8!H51</f>
        <v>0</v>
      </c>
      <c r="I41" s="200">
        <f>+[2]D_Est_Org_Q8!I51</f>
        <v>0</v>
      </c>
      <c r="J41" s="200">
        <f>+[2]D_Est_Org_Q8!J51</f>
        <v>436527.09748</v>
      </c>
      <c r="K41" s="200">
        <f>+[2]D_Est_Org_Q8!K51</f>
        <v>0</v>
      </c>
      <c r="L41" s="200">
        <f>+[2]D_Est_Org_Q8!L51</f>
        <v>0</v>
      </c>
      <c r="M41" s="200">
        <f>+[2]D_Est_Org_Q8!M51</f>
        <v>0</v>
      </c>
      <c r="N41" s="200">
        <f>+[2]D_Est_Org_Q8!N51</f>
        <v>436527.09748</v>
      </c>
    </row>
    <row r="42" spans="1:169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</row>
    <row r="43" spans="1:169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</row>
    <row r="44" spans="1:169" ht="31.5" customHeight="1">
      <c r="C44" s="212" t="str">
        <f>+IF(Índice!$D$2=1,"Operações extraorçamentais","Extra-budgetary operations")</f>
        <v>Operações extraorçamentais</v>
      </c>
      <c r="D44" s="213">
        <f>+[2]D_Est_Org_Q8!D54</f>
        <v>0</v>
      </c>
      <c r="E44" s="213">
        <f>+[2]D_Est_Org_Q8!E54</f>
        <v>0</v>
      </c>
      <c r="F44" s="213">
        <f>+[2]D_Est_Org_Q8!F54</f>
        <v>0</v>
      </c>
      <c r="G44" s="213">
        <f>+[2]D_Est_Org_Q8!G54</f>
        <v>0</v>
      </c>
      <c r="H44" s="213">
        <f>+[2]D_Est_Org_Q8!H54</f>
        <v>0</v>
      </c>
      <c r="I44" s="213">
        <f>+[2]D_Est_Org_Q8!I54</f>
        <v>0</v>
      </c>
      <c r="J44" s="213">
        <f>+[2]D_Est_Org_Q8!J54</f>
        <v>0</v>
      </c>
      <c r="K44" s="213">
        <f>+[2]D_Est_Org_Q8!K54</f>
        <v>0</v>
      </c>
      <c r="L44" s="213">
        <f>+[2]D_Est_Org_Q8!L54</f>
        <v>0</v>
      </c>
      <c r="M44" s="213">
        <f>+[2]D_Est_Org_Q8!M54</f>
        <v>0</v>
      </c>
      <c r="N44" s="213">
        <f>+[2]D_Est_Org_Q8!N54</f>
        <v>153566.93187999999</v>
      </c>
    </row>
    <row r="45" spans="1:169" hidden="1">
      <c r="C45" s="214">
        <v>0</v>
      </c>
      <c r="D45" s="215">
        <v>0</v>
      </c>
      <c r="E45" s="215">
        <v>0</v>
      </c>
      <c r="F45" s="215">
        <v>0</v>
      </c>
      <c r="G45" s="215"/>
      <c r="H45" s="215"/>
      <c r="I45" s="215"/>
      <c r="J45" s="215">
        <v>1</v>
      </c>
      <c r="K45" s="215">
        <v>2</v>
      </c>
      <c r="L45" s="215"/>
      <c r="M45" s="215">
        <v>5</v>
      </c>
      <c r="N45" s="215">
        <v>7</v>
      </c>
    </row>
    <row r="46" spans="1:169">
      <c r="C46" s="333" t="str">
        <f>+IF(Índice!$D$2=1,"Fonte: Secretaria Regional das Finanças","Source: Regional Finance Secretariat")</f>
        <v>Fonte: Secretaria Regional das Finanças</v>
      </c>
      <c r="D46" s="333" t="str">
        <f>+IF(Índice!$D$2="PT","Fonte: Vice-Presidência do Governo Regional","Source: Vice-Presidency of the Regional Government")</f>
        <v>Source: Vice-Presidency of the Regional Government</v>
      </c>
      <c r="E46" s="333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69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1:169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3:14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3:14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3:14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3:14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4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</row>
    <row r="54" spans="3:14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</row>
    <row r="55" spans="3:14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</row>
    <row r="56" spans="3:14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</row>
    <row r="57" spans="3:14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</row>
    <row r="58" spans="3:14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</row>
    <row r="59" spans="3:14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</row>
    <row r="60" spans="3:14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</row>
    <row r="61" spans="3:14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</row>
    <row r="62" spans="3:14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</row>
    <row r="63" spans="3:14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</row>
    <row r="64" spans="3:14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</row>
    <row r="65" spans="3:14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</row>
    <row r="66" spans="3:14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</row>
    <row r="67" spans="3:14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</row>
    <row r="68" spans="3:14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</row>
    <row r="69" spans="3:14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</row>
    <row r="70" spans="3:14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</row>
    <row r="71" spans="3:14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</row>
    <row r="72" spans="3:14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</row>
    <row r="73" spans="3:14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</row>
    <row r="74" spans="3:14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3:14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</row>
    <row r="76" spans="3:14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</row>
    <row r="77" spans="3:14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</row>
    <row r="78" spans="3:14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</row>
    <row r="79" spans="3:14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</row>
    <row r="80" spans="3:14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</row>
    <row r="81" spans="3:14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</row>
    <row r="82" spans="3:14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</row>
    <row r="83" spans="3:14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</row>
    <row r="84" spans="3:14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</row>
    <row r="85" spans="3:14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</row>
    <row r="86" spans="3:14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L13" sqref="L13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(janeiro-novembro)","TABLE IX - RPEs global balance (january-november)")</f>
        <v>QUADRO IX - Saldo Global do Subsetor - EPR (janeiro-novembro)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2024</v>
      </c>
      <c r="E3" s="173">
        <v>2025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f>+'[2]Saldo_Global EPR_Q9'!C5</f>
        <v>6971.9255099997972</v>
      </c>
      <c r="E5" s="82">
        <f>+'[2]Saldo_Global EPR_Q9'!D5</f>
        <v>-24910.003149999888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Fonte: Secretaria Regional das Finanças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L13" sqref="L13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(janeiro-novembro)","TABLE X - ASFs and RPEs budget execution (january-november)")</f>
        <v>QUADRO X - Execução orçamental dos Serviços e Fundos Autónomos e EPR (janeiro-novembro)</v>
      </c>
      <c r="D2" s="335"/>
      <c r="E2" s="335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f>+'[2]SFA acumulado_Q10_11'!D84</f>
        <v>26842.938819999923</v>
      </c>
      <c r="E4" s="98">
        <f>+'[2]SFA acumulado_Q10_11'!E84</f>
        <v>-24910.003149999888</v>
      </c>
      <c r="F4" s="98">
        <f>+'[2]SFA acumulado_Q10_11'!F84</f>
        <v>1932.9356700000353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f>+'[2]SFA acumulado_Q10_11'!D87</f>
        <v>556806.79279999994</v>
      </c>
      <c r="E7" s="74">
        <f>+'[2]SFA acumulado_Q10_11'!E87</f>
        <v>507516.22358999983</v>
      </c>
      <c r="F7" s="74">
        <f>+'[2]SFA acumulado_Q10_11'!F87</f>
        <v>1064323.0163899998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f>+'[2]SFA acumulado_Q10_11'!D88</f>
        <v>29064.514899999922</v>
      </c>
      <c r="E8" s="74">
        <f>+'[2]SFA acumulado_Q10_11'!E88</f>
        <v>-24160.525129999889</v>
      </c>
      <c r="F8" s="74">
        <f>+'[2]SFA acumulado_Q10_11'!F88</f>
        <v>4903.9897700000347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f>+'[2]SFA acumulado_Q10_11'!D89</f>
        <v>25512.56595999992</v>
      </c>
      <c r="E9" s="74">
        <f>+'[2]SFA acumulado_Q10_11'!E89</f>
        <v>-30014.434079999861</v>
      </c>
      <c r="F9" s="74">
        <f>+'[2]SFA acumulado_Q10_11'!F89</f>
        <v>-4501.8681199998828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f>+'[2]SFA acumulado_Q10_11'!D90</f>
        <v>1330.3728600000031</v>
      </c>
      <c r="E10" s="74">
        <f>+'[2]SFA acumulado_Q10_11'!E90</f>
        <v>5104.4309300000023</v>
      </c>
      <c r="F10" s="74">
        <f>+'[2]SFA acumulado_Q10_11'!F90</f>
        <v>6434.8037900000054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Fonte: Secretaria Regional das Finanças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L13" sqref="L13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(janeiro-novembro)","TABLE XI - ASFs and RPEs budget execution (january-november)")</f>
        <v>QUADRO XI - Execução orçamental dos Serviços e Fundos Autónomos e EPR (janeiro-novembro)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f>+'[2]SFA acumulado_Q10_11'!D7</f>
        <v>576376.80051999993</v>
      </c>
      <c r="E4" s="108">
        <f>+'[2]SFA acumulado_Q10_11'!E7</f>
        <v>378057.17907999991</v>
      </c>
      <c r="F4" s="108">
        <f>+'[2]SFA acumulado_Q10_11'!F7</f>
        <v>954433.97959999985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f>+'[2]SFA acumulado_Q10_11'!D8</f>
        <v>0</v>
      </c>
      <c r="E5" s="74">
        <f>+'[2]SFA acumulado_Q10_11'!E8</f>
        <v>0</v>
      </c>
      <c r="F5" s="74">
        <f>+'[2]SFA acumulado_Q10_11'!F8</f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f>+'[2]SFA acumulado_Q10_11'!D9</f>
        <v>0</v>
      </c>
      <c r="E6" s="74">
        <f>+'[2]SFA acumulado_Q10_11'!E9</f>
        <v>0</v>
      </c>
      <c r="F6" s="74">
        <f>+'[2]SFA acumulado_Q10_11'!F9</f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f>+'[2]SFA acumulado_Q10_11'!D10</f>
        <v>0</v>
      </c>
      <c r="E7" s="74">
        <f>+'[2]SFA acumulado_Q10_11'!E10</f>
        <v>0</v>
      </c>
      <c r="F7" s="74">
        <f>+'[2]SFA acumulado_Q10_11'!F10</f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f>+'[2]SFA acumulado_Q10_11'!D11</f>
        <v>10050.294960000001</v>
      </c>
      <c r="E8" s="74">
        <f>+'[2]SFA acumulado_Q10_11'!E11</f>
        <v>8702.1373899999999</v>
      </c>
      <c r="F8" s="74">
        <f>+'[2]SFA acumulado_Q10_11'!F11</f>
        <v>18752.432350000003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f>+'[2]SFA acumulado_Q10_11'!D12</f>
        <v>558332.26815999998</v>
      </c>
      <c r="E9" s="74">
        <f>+'[2]SFA acumulado_Q10_11'!E12</f>
        <v>326553.53563999996</v>
      </c>
      <c r="F9" s="74">
        <f>+'[2]SFA acumulado_Q10_11'!F12</f>
        <v>884885.80379999988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f>+'[2]SFA acumulado_Q10_11'!D13</f>
        <v>44450.094239999999</v>
      </c>
      <c r="E10" s="74">
        <f>+'[2]SFA acumulado_Q10_11'!E13</f>
        <v>2155.6156100000003</v>
      </c>
      <c r="F10" s="74">
        <f>+'[2]SFA acumulado_Q10_11'!F13</f>
        <v>46605.709849999999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f>+'[2]SFA acumulado_Q10_11'!D14</f>
        <v>512440.16796999995</v>
      </c>
      <c r="E11" s="74">
        <f>+'[2]SFA acumulado_Q10_11'!E14</f>
        <v>324344.98215999996</v>
      </c>
      <c r="F11" s="74">
        <f>+'[2]SFA acumulado_Q10_11'!F14</f>
        <v>836785.15012999997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f>+'[2]SFA acumulado_Q10_11'!D15</f>
        <v>6543.4324900000001</v>
      </c>
      <c r="E12" s="74">
        <f>+'[2]SFA acumulado_Q10_11'!E15</f>
        <v>22066.737989999998</v>
      </c>
      <c r="F12" s="74">
        <f>+'[2]SFA acumulado_Q10_11'!F15</f>
        <v>28610.170479999997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f>+'[2]SFA acumulado_Q10_11'!D16</f>
        <v>1450.8049099999998</v>
      </c>
      <c r="E13" s="74">
        <f>+'[2]SFA acumulado_Q10_11'!E16</f>
        <v>20734.768060000002</v>
      </c>
      <c r="F13" s="74">
        <f>+'[2]SFA acumulado_Q10_11'!F16</f>
        <v>22185.572970000001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f>+'[2]SFA acumulado_Q10_11'!D17</f>
        <v>9494.5071800000023</v>
      </c>
      <c r="E14" s="83">
        <f>+'[2]SFA acumulado_Q10_11'!E17</f>
        <v>105298.51938000003</v>
      </c>
      <c r="F14" s="83">
        <f>+'[2]SFA acumulado_Q10_11'!F17</f>
        <v>114793.02656000003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f>+'[2]SFA acumulado_Q10_11'!D18</f>
        <v>0</v>
      </c>
      <c r="E15" s="34">
        <f>+'[2]SFA acumulado_Q10_11'!E18</f>
        <v>2757.4862099999996</v>
      </c>
      <c r="F15" s="34">
        <f>+'[2]SFA acumulado_Q10_11'!F18</f>
        <v>2757.4862099999996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f>+'[2]SFA acumulado_Q10_11'!D19</f>
        <v>9406.7041800000025</v>
      </c>
      <c r="E16" s="34">
        <f>+'[2]SFA acumulado_Q10_11'!E19</f>
        <v>102459.61923000001</v>
      </c>
      <c r="F16" s="74">
        <f>+'[2]SFA acumulado_Q10_11'!F19</f>
        <v>111866.32341000001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f>+'[2]SFA acumulado_Q10_11'!D20</f>
        <v>7534.5245600000007</v>
      </c>
      <c r="E17" s="34">
        <f>+'[2]SFA acumulado_Q10_11'!E20</f>
        <v>55344.063969999996</v>
      </c>
      <c r="F17" s="74">
        <f>+'[2]SFA acumulado_Q10_11'!F20</f>
        <v>62878.588529999994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f>+'[2]SFA acumulado_Q10_11'!D21</f>
        <v>1872.1796200000017</v>
      </c>
      <c r="E18" s="74">
        <f>+'[2]SFA acumulado_Q10_11'!E21</f>
        <v>47115.555260000016</v>
      </c>
      <c r="F18" s="74">
        <f>+'[2]SFA acumulado_Q10_11'!F21</f>
        <v>48987.734880000018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f>+'[2]SFA acumulado_Q10_11'!D22</f>
        <v>0</v>
      </c>
      <c r="E19" s="74">
        <f>+'[2]SFA acumulado_Q10_11'!E22</f>
        <v>42.855460000000001</v>
      </c>
      <c r="F19" s="74">
        <f>+'[2]SFA acumulado_Q10_11'!F22</f>
        <v>42.855460000000001</v>
      </c>
    </row>
    <row r="20" spans="2:6" ht="11.25" customHeight="1">
      <c r="C20" s="110" t="str">
        <f>+IF(Índice!$D$2=1,"Receita efetiva","Effective revenue")</f>
        <v>Receita efetiva</v>
      </c>
      <c r="D20" s="83">
        <f>+'[2]SFA acumulado_Q10_11'!D32</f>
        <v>585871.30769999989</v>
      </c>
      <c r="E20" s="83">
        <f>+'[2]SFA acumulado_Q10_11'!E32</f>
        <v>483355.69845999993</v>
      </c>
      <c r="F20" s="83">
        <f>+'[2]SFA acumulado_Q10_11'!F32</f>
        <v>1069227.0061599999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f>+'[2]SFA acumulado_Q10_11'!D34</f>
        <v>550864.23456000001</v>
      </c>
      <c r="E22" s="83">
        <f>+'[2]SFA acumulado_Q10_11'!E34</f>
        <v>408071.61315999978</v>
      </c>
      <c r="F22" s="83">
        <f>+'[2]SFA acumulado_Q10_11'!F34</f>
        <v>958935.84771999973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f>+'[2]SFA acumulado_Q10_11'!D35</f>
        <v>58465.658599999944</v>
      </c>
      <c r="E23" s="74">
        <f>+'[2]SFA acumulado_Q10_11'!E35</f>
        <v>273081.7712199997</v>
      </c>
      <c r="F23" s="74">
        <f>+'[2]SFA acumulado_Q10_11'!F35</f>
        <v>331547.42981999967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f>+'[2]SFA acumulado_Q10_11'!D36</f>
        <v>121093.32540000006</v>
      </c>
      <c r="E24" s="74">
        <f>+'[2]SFA acumulado_Q10_11'!E36</f>
        <v>118357.26475000007</v>
      </c>
      <c r="F24" s="74">
        <f>+'[2]SFA acumulado_Q10_11'!F36</f>
        <v>239450.59015000012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f>+'[2]SFA acumulado_Q10_11'!D37</f>
        <v>2221.5760799999998</v>
      </c>
      <c r="E25" s="74">
        <f>+'[2]SFA acumulado_Q10_11'!E37</f>
        <v>749.47802000000001</v>
      </c>
      <c r="F25" s="74">
        <f>+'[2]SFA acumulado_Q10_11'!F37</f>
        <v>2971.0540999999998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f>+'[2]SFA acumulado_Q10_11'!D38</f>
        <v>339231.50813999999</v>
      </c>
      <c r="E26" s="74">
        <f>+'[2]SFA acumulado_Q10_11'!E38</f>
        <v>12986.800480000002</v>
      </c>
      <c r="F26" s="74">
        <f>+'[2]SFA acumulado_Q10_11'!F38</f>
        <v>352218.30861999997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f>+'[2]SFA acumulado_Q10_11'!D39</f>
        <v>2800.7875400000003</v>
      </c>
      <c r="E27" s="74">
        <f>+'[2]SFA acumulado_Q10_11'!E39</f>
        <v>0</v>
      </c>
      <c r="F27" s="59">
        <f>+'[2]SFA acumulado_Q10_11'!F39</f>
        <v>2800.7875400000003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f>+'[2]SFA acumulado_Q10_11'!D40</f>
        <v>336430.7206</v>
      </c>
      <c r="E28" s="74">
        <f>+'[2]SFA acumulado_Q10_11'!E40</f>
        <v>12986.800480000002</v>
      </c>
      <c r="F28" s="59">
        <f>+'[2]SFA acumulado_Q10_11'!F40</f>
        <v>349417.52107999998</v>
      </c>
    </row>
    <row r="29" spans="2:6" ht="11.25" customHeight="1">
      <c r="C29" s="104" t="str">
        <f>+IF(Índice!$D$2=1,"Subsídios","Subsidies")</f>
        <v>Subsídios</v>
      </c>
      <c r="D29" s="74">
        <f>+'[2]SFA acumulado_Q10_11'!D41</f>
        <v>29613.967220000002</v>
      </c>
      <c r="E29" s="74">
        <f>+'[2]SFA acumulado_Q10_11'!E41</f>
        <v>11.661100000000001</v>
      </c>
      <c r="F29" s="74">
        <f>+'[2]SFA acumulado_Q10_11'!F41</f>
        <v>29625.628320000003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f>+'[2]SFA acumulado_Q10_11'!D42</f>
        <v>238.19912000000002</v>
      </c>
      <c r="E30" s="74">
        <f>+'[2]SFA acumulado_Q10_11'!E42</f>
        <v>2884.6375900000003</v>
      </c>
      <c r="F30" s="74">
        <f>+'[2]SFA acumulado_Q10_11'!F42</f>
        <v>3122.8367100000005</v>
      </c>
    </row>
    <row r="31" spans="2:6" ht="11.25" customHeight="1">
      <c r="C31" s="110" t="str">
        <f>+IF(Índice!$D$2=1,"Despesa de capital","Capital expenditure")</f>
        <v>Despesa de capital</v>
      </c>
      <c r="D31" s="83">
        <f>+'[2]SFA acumulado_Q10_11'!D43</f>
        <v>8164.1343199999992</v>
      </c>
      <c r="E31" s="83">
        <f>+'[2]SFA acumulado_Q10_11'!E43</f>
        <v>100194.08845000002</v>
      </c>
      <c r="F31" s="83">
        <f>+'[2]SFA acumulado_Q10_11'!F43</f>
        <v>108358.22277000002</v>
      </c>
    </row>
    <row r="32" spans="2:6" ht="11.25" customHeight="1">
      <c r="C32" s="104" t="str">
        <f>+IF(Índice!$D$2=1,"Investimento","Investment")</f>
        <v>Investimento</v>
      </c>
      <c r="D32" s="74">
        <f>+'[2]SFA acumulado_Q10_11'!D44</f>
        <v>3785.2251599999995</v>
      </c>
      <c r="E32" s="74">
        <f>+'[2]SFA acumulado_Q10_11'!E44</f>
        <v>99205.781840000025</v>
      </c>
      <c r="F32" s="74">
        <f>+'[2]SFA acumulado_Q10_11'!F44</f>
        <v>102991.00700000003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f>+'[2]SFA acumulado_Q10_11'!D45</f>
        <v>4378.9091600000002</v>
      </c>
      <c r="E33" s="74">
        <f>+'[2]SFA acumulado_Q10_11'!E45</f>
        <v>988.30661000000009</v>
      </c>
      <c r="F33" s="74">
        <f>+'[2]SFA acumulado_Q10_11'!F45</f>
        <v>5367.2157700000007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f>+'[2]SFA acumulado_Q10_11'!D46</f>
        <v>0</v>
      </c>
      <c r="E34" s="59">
        <f>+'[2]SFA acumulado_Q10_11'!E46</f>
        <v>0</v>
      </c>
      <c r="F34" s="59">
        <f>+'[2]SFA acumulado_Q10_11'!F46</f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f>+'[2]SFA acumulado_Q10_11'!D48</f>
        <v>559028.36887999997</v>
      </c>
      <c r="E36" s="83">
        <f>+'[2]SFA acumulado_Q10_11'!E48</f>
        <v>508265.70160999981</v>
      </c>
      <c r="F36" s="83">
        <f>+'[2]SFA acumulado_Q10_11'!F48</f>
        <v>1067294.0704899998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f>+'[2]SFA acumulado_Q10_11'!D50</f>
        <v>5705.4649900000004</v>
      </c>
      <c r="E38" s="35">
        <f>+'[2]SFA acumulado_Q10_11'!E50</f>
        <v>933.19365999999991</v>
      </c>
      <c r="F38" s="35">
        <f>+'[2]SFA acumulado_Q10_11'!F50</f>
        <v>6638.6586500000003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f>+'[2]SFA acumulado_Q10_11'!D51</f>
        <v>0</v>
      </c>
      <c r="E39" s="35">
        <f>+'[2]SFA acumulado_Q10_11'!E51</f>
        <v>12355.46149</v>
      </c>
      <c r="F39" s="35">
        <f>+'[2]SFA acumulado_Q10_11'!F51</f>
        <v>12355.46149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f>+'[2]SFA acumulado_Q10_11'!D52</f>
        <v>0</v>
      </c>
      <c r="E40" s="35">
        <f>+'[2]SFA acumulado_Q10_11'!E52</f>
        <v>0</v>
      </c>
      <c r="F40" s="35">
        <f>+'[2]SFA acumulado_Q10_11'!F52</f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f>+'[2]SFA acumulado_Q10_11'!D56</f>
        <v>26842.938819999923</v>
      </c>
      <c r="E44" s="114">
        <f>+'[2]SFA acumulado_Q10_11'!E56</f>
        <v>-24910.003149999888</v>
      </c>
      <c r="F44" s="114">
        <f>+'[2]SFA acumulado_Q10_11'!F56</f>
        <v>1932.9356700000353</v>
      </c>
    </row>
    <row r="45" spans="3:6" ht="15" customHeight="1">
      <c r="C45" s="333" t="str">
        <f>+IF(Índice!$D$2=1,"Fonte: Secretaria Regional das Finanças","Source: Regional Finance Secretariat")</f>
        <v>Fonte: Secretaria Regional das Finanças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L13" sqref="L13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3"/>
  </cols>
  <sheetData>
    <row r="1" spans="2:8">
      <c r="C1" s="303"/>
    </row>
    <row r="2" spans="2:8" ht="12.75">
      <c r="B2" s="16"/>
      <c r="C2" s="304" t="str">
        <f>+IF(Índice!$D$2=1,"QUADRO XII - Execução orçamental dos Serviços e Fundos Autónomos e EPR (novembro)","TABLE XII - ASFs and RPEs budget execution (november)")</f>
        <v>QUADRO XII - Execução orçamental dos Serviços e Fundos Autónomos e EPR (novembro)</v>
      </c>
      <c r="D2" s="305"/>
      <c r="E2" s="305"/>
      <c r="F2" s="306" t="str">
        <f>+IF(Índice!$D$2=1,"€ Milhares","€ Thousands")</f>
        <v>€ Milhares</v>
      </c>
      <c r="H2" s="290" t="str">
        <f>+IF(Índice!$D$2=1,"índice","Index")</f>
        <v>índice</v>
      </c>
    </row>
    <row r="3" spans="2:8" ht="12.75">
      <c r="B3"/>
      <c r="C3" s="307"/>
      <c r="D3" s="308" t="str">
        <f>+IF(Índice!$D$2=1,"novembro 2025","november 2025")</f>
        <v>novembro 2025</v>
      </c>
      <c r="E3" s="309"/>
      <c r="F3" s="310"/>
      <c r="H3" s="311"/>
    </row>
    <row r="4" spans="2:8" ht="35.1" customHeight="1">
      <c r="C4" s="106"/>
      <c r="D4" s="312" t="str">
        <f>+IF(Índice!$D$2=1,"SFA execução mensal","ASF monthly execution")</f>
        <v>SFA execução mensal</v>
      </c>
      <c r="E4" s="313" t="str">
        <f>+IF(Índice!$D$2=1,"EPR execução mensal","RPE monthly execution")</f>
        <v>EPR execução mensal</v>
      </c>
      <c r="F4" s="314" t="str">
        <f>+IF(Índice!$D$2=1,"Total","Total")</f>
        <v>Total</v>
      </c>
    </row>
    <row r="5" spans="2:8" ht="12" customHeight="1">
      <c r="C5" s="315" t="str">
        <f>+IF(Índice!$D$2=1,"Receita corrente","Current revenue")</f>
        <v>Receita corrente</v>
      </c>
      <c r="D5" s="316">
        <f>+'[2]SFA+EPR mensal-acumulado_Q12'!D6</f>
        <v>58456.93089999989</v>
      </c>
      <c r="E5" s="316">
        <f>+'[2]SFA+EPR mensal-acumulado_Q12'!E6</f>
        <v>33423.313640000109</v>
      </c>
      <c r="F5" s="316">
        <f>+'[2]SFA+EPR mensal-acumulado_Q12'!F6</f>
        <v>91880.24454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f>+'[2]SFA+EPR mensal-acumulado_Q12'!D7</f>
        <v>0</v>
      </c>
      <c r="E6" s="74">
        <f>+'[2]SFA+EPR mensal-acumulado_Q12'!E7</f>
        <v>0</v>
      </c>
      <c r="F6" s="74">
        <f>+'[2]SFA+EPR mensal-acumulado_Q12'!F7</f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f>+'[2]SFA+EPR mensal-acumulado_Q12'!D8</f>
        <v>0</v>
      </c>
      <c r="E7" s="74">
        <f>+'[2]SFA+EPR mensal-acumulado_Q12'!E8</f>
        <v>0</v>
      </c>
      <c r="F7" s="74">
        <f>+'[2]SFA+EPR mensal-acumulado_Q12'!F8</f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f>+'[2]SFA+EPR mensal-acumulado_Q12'!D9</f>
        <v>0</v>
      </c>
      <c r="E8" s="74">
        <f>+'[2]SFA+EPR mensal-acumulado_Q12'!E9</f>
        <v>0</v>
      </c>
      <c r="F8" s="74">
        <f>+'[2]SFA+EPR mensal-acumulado_Q12'!F9</f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f>+'[2]SFA+EPR mensal-acumulado_Q12'!D10</f>
        <v>58456.93089999989</v>
      </c>
      <c r="E9" s="74">
        <f>+'[2]SFA+EPR mensal-acumulado_Q12'!E10</f>
        <v>33423.313640000109</v>
      </c>
      <c r="F9" s="74">
        <f>+'[2]SFA+EPR mensal-acumulado_Q12'!F10</f>
        <v>91880.24454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f>+'[2]SFA+EPR mensal-acumulado_Q12'!D11</f>
        <v>56591.181739999891</v>
      </c>
      <c r="E10" s="74">
        <f>+'[2]SFA+EPR mensal-acumulado_Q12'!E11</f>
        <v>29040.322640000104</v>
      </c>
      <c r="F10" s="74">
        <f>+'[2]SFA+EPR mensal-acumulado_Q12'!F11</f>
        <v>85631.504379999998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f>+'[2]SFA+EPR mensal-acumulado_Q12'!D12</f>
        <v>1705.9869000000012</v>
      </c>
      <c r="E11" s="83">
        <f>+'[2]SFA+EPR mensal-acumulado_Q12'!E12</f>
        <v>9428.9706399999941</v>
      </c>
      <c r="F11" s="83">
        <f>+'[2]SFA+EPR mensal-acumulado_Q12'!F12</f>
        <v>11134.957539999996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f>+'[2]SFA+EPR mensal-acumulado_Q12'!D13</f>
        <v>0</v>
      </c>
      <c r="E12" s="34">
        <f>+'[2]SFA+EPR mensal-acumulado_Q12'!E13</f>
        <v>0.2</v>
      </c>
      <c r="F12" s="34">
        <f>+'[2]SFA+EPR mensal-acumulado_Q12'!F13</f>
        <v>0.2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f>+'[2]SFA+EPR mensal-acumulado_Q12'!D14</f>
        <v>1689.7667800000013</v>
      </c>
      <c r="E13" s="34">
        <f>+'[2]SFA+EPR mensal-acumulado_Q12'!E14</f>
        <v>9419.8190999999933</v>
      </c>
      <c r="F13" s="74">
        <f>+'[2]SFA+EPR mensal-acumulado_Q12'!F14</f>
        <v>11109.585879999995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f>+'[2]SFA+EPR mensal-acumulado_Q12'!D16</f>
        <v>60162.917799999894</v>
      </c>
      <c r="E15" s="83">
        <f>+'[2]SFA+EPR mensal-acumulado_Q12'!E16</f>
        <v>42852.284280000102</v>
      </c>
      <c r="F15" s="83">
        <f>+'[2]SFA+EPR mensal-acumulado_Q12'!F16</f>
        <v>103015.20207999999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f>+'[2]SFA+EPR mensal-acumulado_Q12'!D17</f>
        <v>58832.542310000244</v>
      </c>
      <c r="E17" s="83">
        <f>+'[2]SFA+EPR mensal-acumulado_Q12'!E17</f>
        <v>36278.886499999848</v>
      </c>
      <c r="F17" s="83">
        <f>+'[2]SFA+EPR mensal-acumulado_Q12'!F17</f>
        <v>95111.428810000099</v>
      </c>
    </row>
    <row r="18" spans="3:6" ht="11.25" customHeight="1">
      <c r="C18" s="104" t="str">
        <f>+IF(Índice!$D$2=1,"Consumo público","Public consumption")</f>
        <v>Consumo público</v>
      </c>
      <c r="D18" s="74">
        <f>+'[2]SFA+EPR mensal-acumulado_Q12'!D18</f>
        <v>23052.353920000034</v>
      </c>
      <c r="E18" s="74">
        <f>+'[2]SFA+EPR mensal-acumulado_Q12'!E18</f>
        <v>35070.004509999846</v>
      </c>
      <c r="F18" s="74">
        <f>+'[2]SFA+EPR mensal-acumulado_Q12'!F18</f>
        <v>58122.358429999877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f>+'[2]SFA+EPR mensal-acumulado_Q12'!D19</f>
        <v>7789.9388199999403</v>
      </c>
      <c r="E19" s="74">
        <f>+'[2]SFA+EPR mensal-acumulado_Q12'!E19</f>
        <v>36898.513409999636</v>
      </c>
      <c r="F19" s="74">
        <f>+'[2]SFA+EPR mensal-acumulado_Q12'!F19</f>
        <v>44688.452229999573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f>+'[2]SFA+EPR mensal-acumulado_Q12'!D20</f>
        <v>15262.415100000095</v>
      </c>
      <c r="E20" s="74">
        <f>+'[2]SFA+EPR mensal-acumulado_Q12'!E20</f>
        <v>-1828.5088999997852</v>
      </c>
      <c r="F20" s="74">
        <f>+'[2]SFA+EPR mensal-acumulado_Q12'!F20</f>
        <v>13433.90620000031</v>
      </c>
    </row>
    <row r="21" spans="3:6" ht="11.25" customHeight="1">
      <c r="C21" s="104" t="str">
        <f>+IF(Índice!$D$2=1,"Subsídios","Subsidies")</f>
        <v>Subsídios</v>
      </c>
      <c r="D21" s="74">
        <f>+'[2]SFA+EPR mensal-acumulado_Q12'!D21</f>
        <v>2005.1701600000001</v>
      </c>
      <c r="E21" s="74">
        <f>+'[2]SFA+EPR mensal-acumulado_Q12'!E21</f>
        <v>0</v>
      </c>
      <c r="F21" s="74">
        <f>+'[2]SFA+EPR mensal-acumulado_Q12'!F21</f>
        <v>2005.1701600000001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f>+'[2]SFA+EPR mensal-acumulado_Q12'!D22</f>
        <v>0.13038999999966472</v>
      </c>
      <c r="E22" s="74">
        <f>+'[2]SFA+EPR mensal-acumulado_Q12'!E22</f>
        <v>48.777029999999911</v>
      </c>
      <c r="F22" s="59">
        <f>+'[2]SFA+EPR mensal-acumulado_Q12'!F22</f>
        <v>48.907419999999576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f>+'[2]SFA+EPR mensal-acumulado_Q12'!D23</f>
        <v>33774.887840000214</v>
      </c>
      <c r="E23" s="74">
        <f>+'[2]SFA+EPR mensal-acumulado_Q12'!E23</f>
        <v>1160.1049600000008</v>
      </c>
      <c r="F23" s="59">
        <f>+'[2]SFA+EPR mensal-acumulado_Q12'!F23</f>
        <v>34934.992800000218</v>
      </c>
    </row>
    <row r="24" spans="3:6" ht="11.25" customHeight="1">
      <c r="C24" s="110" t="str">
        <f>+IF(Índice!$D$2=1,"Despesa de capital","Capital expenditure")</f>
        <v>Despesa de capital</v>
      </c>
      <c r="D24" s="83">
        <f>+'[2]SFA+EPR mensal-acumulado_Q12'!D24</f>
        <v>2495.5896499999999</v>
      </c>
      <c r="E24" s="83">
        <f>+'[2]SFA+EPR mensal-acumulado_Q12'!E24</f>
        <v>7856.174629999995</v>
      </c>
      <c r="F24" s="83">
        <f>+'[2]SFA+EPR mensal-acumulado_Q12'!F24</f>
        <v>10351.764279999996</v>
      </c>
    </row>
    <row r="25" spans="3:6" ht="11.25" customHeight="1">
      <c r="C25" s="104" t="str">
        <f>+IF(Índice!$D$2=1,"Investimento","Investment")</f>
        <v>Investimento</v>
      </c>
      <c r="D25" s="74">
        <f>+'[2]SFA+EPR mensal-acumulado_Q12'!D25</f>
        <v>983.66154999999981</v>
      </c>
      <c r="E25" s="74">
        <f>+'[2]SFA+EPR mensal-acumulado_Q12'!E25</f>
        <v>7823.174629999995</v>
      </c>
      <c r="F25" s="74">
        <f>+'[2]SFA+EPR mensal-acumulado_Q12'!F25</f>
        <v>8806.8361799999948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f>+'[2]SFA+EPR mensal-acumulado_Q12'!D26</f>
        <v>1511.9281000000001</v>
      </c>
      <c r="E26" s="74">
        <f>+'[2]SFA+EPR mensal-acumulado_Q12'!E26</f>
        <v>33</v>
      </c>
      <c r="F26" s="74">
        <f>+'[2]SFA+EPR mensal-acumulado_Q12'!F26</f>
        <v>1544.9281000000001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f>+'[2]SFA+EPR mensal-acumulado_Q12'!D27</f>
        <v>0</v>
      </c>
      <c r="E27" s="59">
        <f>+'[2]SFA+EPR mensal-acumulado_Q12'!E27</f>
        <v>0</v>
      </c>
      <c r="F27" s="59">
        <f>+'[2]SFA+EPR mensal-acumulado_Q12'!F27</f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f>+'[2]SFA+EPR mensal-acumulado_Q12'!D29</f>
        <v>61328.131960000246</v>
      </c>
      <c r="E29" s="83">
        <f>+'[2]SFA+EPR mensal-acumulado_Q12'!E29</f>
        <v>44135.061129999842</v>
      </c>
      <c r="F29" s="83">
        <f>+'[2]SFA+EPR mensal-acumulado_Q12'!F29</f>
        <v>105463.19309000009</v>
      </c>
    </row>
    <row r="30" spans="3:6" ht="11.25" customHeight="1">
      <c r="C30" s="110"/>
      <c r="D30" s="83"/>
      <c r="E30" s="83"/>
      <c r="F30" s="83"/>
    </row>
    <row r="31" spans="3:6" ht="17.25" customHeight="1">
      <c r="C31" s="317" t="str">
        <f>+IF(Índice!$D$2=1,"Saldo global","Overall balance")</f>
        <v>Saldo global</v>
      </c>
      <c r="D31" s="318">
        <f>+'[2]SFA+EPR mensal-acumulado_Q12'!D31</f>
        <v>-1165.2141600003524</v>
      </c>
      <c r="E31" s="318">
        <f>+'[2]SFA+EPR mensal-acumulado_Q12'!E31</f>
        <v>-1282.7768499997401</v>
      </c>
      <c r="F31" s="318">
        <f>+'[2]SFA+EPR mensal-acumulado_Q12'!F31</f>
        <v>-2447.9910100000925</v>
      </c>
    </row>
    <row r="32" spans="3:6" ht="15" customHeight="1">
      <c r="C32" s="333" t="str">
        <f>+IF(Índice!$D$2=1,"Fonte: Secretaria Regional das Finanças","Source: Regional Finance Secretariat")</f>
        <v>Fonte: Secretaria Regional das Finanças</v>
      </c>
      <c r="D32" s="333"/>
      <c r="E32" s="333"/>
      <c r="F32" s="59"/>
    </row>
    <row r="33" spans="3:6" ht="11.25" customHeight="1">
      <c r="C33" s="319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L13" sqref="L13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novembro de 2025 (valores acumulados)","Table XIII- Accounts payable of the Regional Administration, november (accumulated)")</f>
        <v>QUADRO XIII - Contas a pagar, da Administração Regional, no final de novembro de 2025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6" t="s">
        <v>7</v>
      </c>
      <c r="D3" s="337" t="str">
        <f>+IF(Índice!$D$2=1,"novembro 2025","november 2025")</f>
        <v>novembro 2025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38" t="str">
        <f>+IF(Índice!$D$2=1,"Variação face ao stock inicial de janeiro","Change from period initial stock")</f>
        <v>Variação face ao stock inicial de janeiro</v>
      </c>
      <c r="H3" s="339"/>
      <c r="I3" s="339"/>
    </row>
    <row r="4" spans="2:11" ht="12.75" customHeight="1">
      <c r="C4" s="336"/>
      <c r="D4" s="340" t="str">
        <f>+IF(Índice!$D$2=1,"Stock final do período","Accumulated")</f>
        <v>Stock final do período</v>
      </c>
      <c r="E4" s="340"/>
      <c r="F4" s="340"/>
      <c r="G4" s="341" t="str">
        <f>+IF(Índice!$D$2=1,"Passivo","Liabilities")</f>
        <v>Passivo</v>
      </c>
      <c r="H4" s="341" t="str">
        <f>+IF(Índice!$D$2=1,"Contas a pagar","Accounts payable")</f>
        <v>Contas a pagar</v>
      </c>
      <c r="I4" s="343" t="str">
        <f>+IF(Índice!$D$2=1,"Pagamentos em atraso","Late payments")</f>
        <v>Pagamentos em atraso</v>
      </c>
    </row>
    <row r="5" spans="2:11" ht="22.5">
      <c r="B5" s="29"/>
      <c r="C5" s="336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2"/>
      <c r="H5" s="342"/>
      <c r="I5" s="344"/>
    </row>
    <row r="6" spans="2:11">
      <c r="B6" s="29"/>
      <c r="C6" s="119" t="str">
        <f>+IF(Índice!$D$2=1,"Despesa corrente","Current expenditure")</f>
        <v>Despesa corrente</v>
      </c>
      <c r="D6" s="162">
        <f>+[2]Compromissos_Q15_16_17_18!B29</f>
        <v>201422429.69999999</v>
      </c>
      <c r="E6" s="162">
        <f>+[2]Compromissos_Q15_16_17_18!C29</f>
        <v>193710246.76999998</v>
      </c>
      <c r="F6" s="162">
        <f>+[2]Compromissos_Q15_16_17_18!D29</f>
        <v>18244164.850000024</v>
      </c>
      <c r="G6" s="91">
        <f>+[2]Compromissos_Q15_16_17_18!E29</f>
        <v>0.88289910042724751</v>
      </c>
      <c r="H6" s="91">
        <f>+[2]Compromissos_Q15_16_17_18!F29</f>
        <v>1.0092774488756167</v>
      </c>
      <c r="I6" s="116">
        <f>+[2]Compromissos_Q15_16_17_18!G29</f>
        <v>-0.55728802372209429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f>+[2]Compromissos_Q15_16_17_18!B30</f>
        <v>18240051.23</v>
      </c>
      <c r="E7" s="165">
        <f>+[2]Compromissos_Q15_16_17_18!C30</f>
        <v>17749689.399999999</v>
      </c>
      <c r="F7" s="165">
        <f>+[2]Compromissos_Q15_16_17_18!D30</f>
        <v>157746.74</v>
      </c>
      <c r="G7" s="95">
        <f>+[2]Compromissos_Q15_16_17_18!E30</f>
        <v>7.4572425528357904</v>
      </c>
      <c r="H7" s="95">
        <f>+[2]Compromissos_Q15_16_17_18!F30</f>
        <v>20.340665208470565</v>
      </c>
      <c r="I7" s="121">
        <f>+[2]Compromissos_Q15_16_17_18!G30</f>
        <v>292.62433921524826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f>+[2]Compromissos_Q15_16_17_18!B31</f>
        <v>95080717.329999983</v>
      </c>
      <c r="E8" s="165">
        <f>+[2]Compromissos_Q15_16_17_18!C31</f>
        <v>93700603.530000001</v>
      </c>
      <c r="F8" s="165">
        <f>+[2]Compromissos_Q15_16_17_18!D31</f>
        <v>15319622.490000023</v>
      </c>
      <c r="G8" s="95">
        <f>+[2]Compromissos_Q15_16_17_18!E31</f>
        <v>5.7802496801933057E-2</v>
      </c>
      <c r="H8" s="95">
        <f>+[2]Compromissos_Q15_16_17_18!F31</f>
        <v>4.4148339217767729E-2</v>
      </c>
      <c r="I8" s="121">
        <f>+[2]Compromissos_Q15_16_17_18!G31</f>
        <v>-0.61354458408989188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f>+[2]Compromissos_Q15_16_17_18!B32</f>
        <v>18945660.039999999</v>
      </c>
      <c r="E9" s="165">
        <f>+[2]Compromissos_Q15_16_17_18!C32</f>
        <v>15528018.18</v>
      </c>
      <c r="F9" s="165">
        <f>+[2]Compromissos_Q15_16_17_18!D32</f>
        <v>2520673.37</v>
      </c>
      <c r="G9" s="95">
        <f>+[2]Compromissos_Q15_16_17_18!E32</f>
        <v>1.1294708246140233</v>
      </c>
      <c r="H9" s="95">
        <f>+[2]Compromissos_Q15_16_17_18!F32</f>
        <v>3.2923385224995325</v>
      </c>
      <c r="I9" s="121">
        <f>+[2]Compromissos_Q15_16_17_18!G32</f>
        <v>0.69721987841388855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f>+[2]Compromissos_Q15_16_17_18!B33</f>
        <v>67727639.609999999</v>
      </c>
      <c r="E10" s="165">
        <f>+[2]Compromissos_Q15_16_17_18!C33</f>
        <v>65309411.720000006</v>
      </c>
      <c r="F10" s="165">
        <f>+[2]Compromissos_Q15_16_17_18!D33</f>
        <v>246071.25</v>
      </c>
      <c r="G10" s="95">
        <f>+[2]Compromissos_Q15_16_17_18!E33</f>
        <v>13.536533067050881</v>
      </c>
      <c r="H10" s="95">
        <f>+[2]Compromissos_Q15_16_17_18!F33</f>
        <v>75.865886439310216</v>
      </c>
      <c r="I10" s="121">
        <f>+[2]Compromissos_Q15_16_17_18!G33</f>
        <v>1.9692675670917481</v>
      </c>
    </row>
    <row r="11" spans="2:11">
      <c r="B11" s="29"/>
      <c r="C11" s="120" t="str">
        <f>+IF(Índice!$D$2=1,"Subsídios","Subsidies")</f>
        <v>Subsídios</v>
      </c>
      <c r="D11" s="165">
        <f>+[2]Compromissos_Q15_16_17_18!B34</f>
        <v>1384353.8</v>
      </c>
      <c r="E11" s="165">
        <f>+[2]Compromissos_Q15_16_17_18!C34</f>
        <v>1384353.8</v>
      </c>
      <c r="F11" s="165">
        <f>+[2]Compromissos_Q15_16_17_18!D34</f>
        <v>0</v>
      </c>
      <c r="G11" s="95">
        <f>+[2]Compromissos_Q15_16_17_18!E34</f>
        <v>1.1750658489386723E-2</v>
      </c>
      <c r="H11" s="95">
        <f>+[2]Compromissos_Q15_16_17_18!F34</f>
        <v>1.1750658489386723E-2</v>
      </c>
      <c r="I11" s="121">
        <f>+[2]Compromissos_Q15_16_17_18!G34</f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f>+[2]Compromissos_Q15_16_17_18!B35</f>
        <v>44007.69</v>
      </c>
      <c r="E12" s="165">
        <f>+[2]Compromissos_Q15_16_17_18!C35</f>
        <v>38170.14</v>
      </c>
      <c r="F12" s="165">
        <f>+[2]Compromissos_Q15_16_17_18!D35</f>
        <v>51</v>
      </c>
      <c r="G12" s="95">
        <f>+[2]Compromissos_Q15_16_17_18!E35</f>
        <v>4.2001519597011381</v>
      </c>
      <c r="H12" s="95">
        <f>+[2]Compromissos_Q15_16_17_18!F35</f>
        <v>19.574343881890655</v>
      </c>
      <c r="I12" s="121">
        <f>+[2]Compromissos_Q15_16_17_18!G35</f>
        <v>0</v>
      </c>
    </row>
    <row r="13" spans="2:11">
      <c r="B13" s="29"/>
      <c r="C13" s="115" t="str">
        <f>+IF(Índice!$D$2=1,"Despesa de capital","Capital expenditure")</f>
        <v>Despesa de capital</v>
      </c>
      <c r="D13" s="163">
        <f>+[2]Compromissos_Q15_16_17_18!B36</f>
        <v>41182425.050000004</v>
      </c>
      <c r="E13" s="163">
        <f>+[2]Compromissos_Q15_16_17_18!C36</f>
        <v>27632914.25</v>
      </c>
      <c r="F13" s="163">
        <f>+[2]Compromissos_Q15_16_17_18!D36</f>
        <v>369009.67999999993</v>
      </c>
      <c r="G13" s="92">
        <f>+[2]Compromissos_Q15_16_17_18!E36</f>
        <v>2.0009419210005763E-2</v>
      </c>
      <c r="H13" s="92">
        <f>+[2]Compromissos_Q15_16_17_18!F36</f>
        <v>8.4726347833952165E-2</v>
      </c>
      <c r="I13" s="117">
        <f>+[2]Compromissos_Q15_16_17_18!G36</f>
        <v>1.5975211991589031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f>+[2]Compromissos_Q15_16_17_18!B37</f>
        <v>23631285.220000003</v>
      </c>
      <c r="E14" s="165">
        <f>+[2]Compromissos_Q15_16_17_18!C37</f>
        <v>15904898.289999999</v>
      </c>
      <c r="F14" s="165">
        <f>+[2]Compromissos_Q15_16_17_18!D37</f>
        <v>369009.67999999993</v>
      </c>
      <c r="G14" s="95">
        <f>+[2]Compromissos_Q15_16_17_18!E37</f>
        <v>1.3164220260316828E-2</v>
      </c>
      <c r="H14" s="95">
        <f>+[2]Compromissos_Q15_16_17_18!F37</f>
        <v>0.10421996085090668</v>
      </c>
      <c r="I14" s="121">
        <f>+[2]Compromissos_Q15_16_17_18!G37</f>
        <v>1.5975211991589031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f>+[2]Compromissos_Q15_16_17_18!B38</f>
        <v>17551139.830000002</v>
      </c>
      <c r="E15" s="165">
        <f>+[2]Compromissos_Q15_16_17_18!C38</f>
        <v>11728015.960000001</v>
      </c>
      <c r="F15" s="165">
        <f>+[2]Compromissos_Q15_16_17_18!D38</f>
        <v>0</v>
      </c>
      <c r="G15" s="95">
        <f>+[2]Compromissos_Q15_16_17_18!E38</f>
        <v>2.9373414661517439E-2</v>
      </c>
      <c r="H15" s="95">
        <f>+[2]Compromissos_Q15_16_17_18!F38</f>
        <v>5.9364065556264167E-2</v>
      </c>
      <c r="I15" s="121">
        <f>+[2]Compromissos_Q15_16_17_18!G38</f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f>+[2]Compromissos_Q15_16_17_18!B39</f>
        <v>0</v>
      </c>
      <c r="E16" s="166">
        <f>+[2]Compromissos_Q15_16_17_18!C39</f>
        <v>0</v>
      </c>
      <c r="F16" s="166">
        <f>+[2]Compromissos_Q15_16_17_18!D39</f>
        <v>0</v>
      </c>
      <c r="G16" s="96">
        <f>+[2]Compromissos_Q15_16_17_18!E39</f>
        <v>0</v>
      </c>
      <c r="H16" s="96">
        <f>+[2]Compromissos_Q15_16_17_18!F39</f>
        <v>0</v>
      </c>
      <c r="I16" s="123">
        <f>+[2]Compromissos_Q15_16_17_18!G39</f>
        <v>0</v>
      </c>
    </row>
    <row r="17" spans="2:9">
      <c r="B17" s="29"/>
      <c r="C17" s="146" t="s">
        <v>7</v>
      </c>
      <c r="D17" s="164">
        <f>+[2]Compromissos_Q15_16_17_18!B40</f>
        <v>242604854.75</v>
      </c>
      <c r="E17" s="164">
        <f>+[2]Compromissos_Q15_16_17_18!C40</f>
        <v>221343161.02000004</v>
      </c>
      <c r="F17" s="164">
        <f>+[2]Compromissos_Q15_16_17_18!D40</f>
        <v>18613174.530000024</v>
      </c>
      <c r="G17" s="147">
        <f>+[2]Compromissos_Q15_16_17_18!E40</f>
        <v>0.64646218575373693</v>
      </c>
      <c r="H17" s="147">
        <f>+[2]Compromissos_Q15_16_17_18!F40</f>
        <v>0.81603781744599568</v>
      </c>
      <c r="I17" s="148">
        <f>+[2]Compromissos_Q15_16_17_18!G40</f>
        <v>-0.54988532271119417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f>+[2]Compromissos_Q15_16_17_18!B42</f>
        <v>175681323.56</v>
      </c>
      <c r="E19" s="164">
        <f>+[2]Compromissos_Q15_16_17_18!C42</f>
        <v>154432113.77000004</v>
      </c>
      <c r="F19" s="164">
        <f>+[2]Compromissos_Q15_16_17_18!D42</f>
        <v>3839340.8300000052</v>
      </c>
      <c r="G19" s="147">
        <f>+[2]Compromissos_Q15_16_17_18!E42</f>
        <v>0.94997361424093474</v>
      </c>
      <c r="H19" s="147">
        <f>+[2]Compromissos_Q15_16_17_18!F42</f>
        <v>1.3891117505562223</v>
      </c>
      <c r="I19" s="148">
        <f>+[2]Compromissos_Q15_16_17_18!G42</f>
        <v>-0.33776261931370632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novembro de 2025 (valores acumulados)","Table XIV - Accounts payable of the Regional Gov., november (accumulated)")</f>
        <v>QUADRO XIV - Contas a pagar, do Governo Regional, no final de novembro de 2025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6" t="str">
        <f>+IF(Índice!$D$2=1,"Governo Regional","Regional Government")</f>
        <v>Governo Regional</v>
      </c>
      <c r="D24" s="337" t="str">
        <f>+IF(Índice!$D$2=1,"novembro 2025","november 2025")</f>
        <v>novembro 2025</v>
      </c>
      <c r="E24" s="337" t="str">
        <f>+IF(Índice!$D$2="PT","janeiro 2020","January")</f>
        <v>January</v>
      </c>
      <c r="F24" s="337" t="str">
        <f>+IF(Índice!$D$2="PT","janeiro 2020","January")</f>
        <v>January</v>
      </c>
      <c r="G24" s="338" t="str">
        <f>+IF(Índice!$D$2=1,"Variação face ao stock inicial de janeiro","Change from january initial stock")</f>
        <v>Variação face ao stock inicial de janeiro</v>
      </c>
      <c r="H24" s="339"/>
      <c r="I24" s="339"/>
    </row>
    <row r="25" spans="2:9" ht="22.5" customHeight="1">
      <c r="B25" s="29"/>
      <c r="C25" s="336"/>
      <c r="D25" s="340" t="str">
        <f>+IF(Índice!$D$2=1,"Stock final do período","Accumulated")</f>
        <v>Stock final do período</v>
      </c>
      <c r="E25" s="340"/>
      <c r="F25" s="340"/>
      <c r="G25" s="341" t="str">
        <f>+IF(Índice!$D$2=1,"Passivo","Liabilities")</f>
        <v>Passivo</v>
      </c>
      <c r="H25" s="341" t="str">
        <f>+IF(Índice!$D$2=1,"Contas a pagar","Accounts payable")</f>
        <v>Contas a pagar</v>
      </c>
      <c r="I25" s="343" t="str">
        <f>+IF(Índice!$D$2=1,"Pagamentos em atraso","Late payments")</f>
        <v>Pagamentos em atraso</v>
      </c>
    </row>
    <row r="26" spans="2:9" ht="22.5">
      <c r="B26" s="29"/>
      <c r="C26" s="336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2"/>
      <c r="H26" s="342"/>
      <c r="I26" s="344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f>+[2]Compromissos_Q15_16_17_18!B5</f>
        <v>36625522.399999999</v>
      </c>
      <c r="E27" s="162">
        <f>+[2]Compromissos_Q15_16_17_18!C5</f>
        <v>32850164.600000001</v>
      </c>
      <c r="F27" s="162">
        <f>+[2]Compromissos_Q15_16_17_18!D5</f>
        <v>1211799.6899999997</v>
      </c>
      <c r="G27" s="91">
        <f>+[2]Compromissos_Q15_16_17_18!E5</f>
        <v>3.1406475271683254</v>
      </c>
      <c r="H27" s="91">
        <f>+[2]Compromissos_Q15_16_17_18!F5</f>
        <v>7.0967382994208279</v>
      </c>
      <c r="I27" s="116">
        <f>+[2]Compromissos_Q15_16_17_18!G5</f>
        <v>0.15534185380530374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f>+[2]Compromissos_Q15_16_17_18!B6</f>
        <v>26997928.990000002</v>
      </c>
      <c r="E28" s="163">
        <f>+[2]Compromissos_Q15_16_17_18!C6</f>
        <v>22219348.940000001</v>
      </c>
      <c r="F28" s="163">
        <f>+[2]Compromissos_Q15_16_17_18!D6</f>
        <v>630</v>
      </c>
      <c r="G28" s="92">
        <f>+[2]Compromissos_Q15_16_17_18!E6</f>
        <v>-9.0551081503171815E-3</v>
      </c>
      <c r="H28" s="172">
        <f>+[2]Compromissos_Q15_16_17_18!F6</f>
        <v>5.4961534588442218E-2</v>
      </c>
      <c r="I28" s="117">
        <f>+[2]Compromissos_Q15_16_17_18!G6</f>
        <v>0</v>
      </c>
    </row>
    <row r="29" spans="2:9" ht="20.100000000000001" customHeight="1">
      <c r="B29" s="29"/>
      <c r="C29" s="146" t="s">
        <v>7</v>
      </c>
      <c r="D29" s="164">
        <f>+[2]Compromissos_Q15_16_17_18!B7</f>
        <v>63623451.390000001</v>
      </c>
      <c r="E29" s="164">
        <f>+[2]Compromissos_Q15_16_17_18!C7</f>
        <v>55069513.540000007</v>
      </c>
      <c r="F29" s="164">
        <f>+[2]Compromissos_Q15_16_17_18!D7</f>
        <v>1212429.6899999997</v>
      </c>
      <c r="G29" s="147">
        <f>+[2]Compromissos_Q15_16_17_18!E7</f>
        <v>0.76291115221863404</v>
      </c>
      <c r="H29" s="147">
        <f>+[2]Compromissos_Q15_16_17_18!F7</f>
        <v>1.1923474407499435</v>
      </c>
      <c r="I29" s="148">
        <f>+[2]Compromissos_Q15_16_17_18!G7</f>
        <v>0.15524860400238638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novembro de 2025 (valores acumulados)","Table XV - Accounts payable of the ASFs, november (accumulated)")</f>
        <v>QUADRO XV - Contas a pagar, dos Serviços e Fundos Autónomos, no final de novembro de 2025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5" t="str">
        <f>+IF(Índice!$D$2=1,"Serviços e Fundos Autónomos","Autonomous Services and Funds")</f>
        <v>Serviços e Fundos Autónomos</v>
      </c>
      <c r="D33" s="337" t="str">
        <f>+IF(Índice!$D$2=1,"novembro 2025","november 2025")</f>
        <v>novembro 2025</v>
      </c>
      <c r="E33" s="337" t="str">
        <f>+IF(Índice!$D$2="PT","janeiro 2020","January")</f>
        <v>January</v>
      </c>
      <c r="F33" s="337" t="str">
        <f>+IF(Índice!$D$2="PT","janeiro 2020","January")</f>
        <v>January</v>
      </c>
      <c r="G33" s="338" t="str">
        <f>+IF(Índice!$D$2=1,"Variação face ao stock inicial de janeiro","Change from january initial stock")</f>
        <v>Variação face ao stock inicial de janeiro</v>
      </c>
      <c r="H33" s="339"/>
      <c r="I33" s="339"/>
    </row>
    <row r="34" spans="2:9" ht="12.75" customHeight="1">
      <c r="C34" s="346"/>
      <c r="D34" s="348" t="str">
        <f>+IF(Índice!$D$2=1,"Stock final do período","Accumulated")</f>
        <v>Stock final do período</v>
      </c>
      <c r="E34" s="349"/>
      <c r="F34" s="350"/>
      <c r="G34" s="351" t="str">
        <f>+IF(Índice!$D$2=1,"Passivo","Liabilities")</f>
        <v>Passivo</v>
      </c>
      <c r="H34" s="351" t="str">
        <f>+IF(Índice!$D$2=1,"Contas a pagar","Accounts payable")</f>
        <v>Contas a pagar</v>
      </c>
      <c r="I34" s="343" t="str">
        <f>+IF(Índice!$D$2=1,"Pagamentos em atraso","Late payments")</f>
        <v>Pagamentos em atraso</v>
      </c>
    </row>
    <row r="35" spans="2:9" ht="22.5">
      <c r="C35" s="347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2"/>
      <c r="H35" s="342"/>
      <c r="I35" s="344"/>
    </row>
    <row r="36" spans="2:9" ht="20.100000000000001" customHeight="1">
      <c r="C36" s="115" t="str">
        <f>+IF(Índice!$D$2=1,"Despesa corrente","Current expenditure")</f>
        <v>Despesa corrente</v>
      </c>
      <c r="D36" s="162">
        <f>+[2]Compromissos_Q15_16_17_18!B13</f>
        <v>97929430.530000001</v>
      </c>
      <c r="E36" s="162">
        <f>+[2]Compromissos_Q15_16_17_18!C13</f>
        <v>96516464.900000006</v>
      </c>
      <c r="F36" s="162">
        <f>+[2]Compromissos_Q15_16_17_18!D13</f>
        <v>2626911.1400000025</v>
      </c>
      <c r="G36" s="91">
        <f>+[2]Compromissos_Q15_16_17_18!E13</f>
        <v>1.5009546837742804</v>
      </c>
      <c r="H36" s="91">
        <f>+[2]Compromissos_Q15_16_17_18!F13</f>
        <v>1.5635256047222543</v>
      </c>
      <c r="I36" s="116">
        <f>+[2]Compromissos_Q15_16_17_18!G13</f>
        <v>-0.45025488255366553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f>+[2]Compromissos_Q15_16_17_18!B14</f>
        <v>352056.16000000003</v>
      </c>
      <c r="E37" s="163">
        <f>+[2]Compromissos_Q15_16_17_18!C14</f>
        <v>298260.40999999997</v>
      </c>
      <c r="F37" s="163">
        <f>+[2]Compromissos_Q15_16_17_18!D14</f>
        <v>0</v>
      </c>
      <c r="G37" s="92">
        <f>+[2]Compromissos_Q15_16_17_18!E14</f>
        <v>1.3803415691507723</v>
      </c>
      <c r="H37" s="92">
        <f>+[2]Compromissos_Q15_16_17_18!F14</f>
        <v>1.0166147706517976</v>
      </c>
      <c r="I37" s="117">
        <f>+[2]Compromissos_Q15_16_17_18!G14</f>
        <v>0</v>
      </c>
    </row>
    <row r="38" spans="2:9" ht="20.100000000000001" customHeight="1">
      <c r="C38" s="146" t="s">
        <v>7</v>
      </c>
      <c r="D38" s="164">
        <f>+[2]Compromissos_Q15_16_17_18!B15</f>
        <v>98281486.689999998</v>
      </c>
      <c r="E38" s="164">
        <f>+[2]Compromissos_Q15_16_17_18!C15</f>
        <v>96814725.310000002</v>
      </c>
      <c r="F38" s="164">
        <f>+[2]Compromissos_Q15_16_17_18!D15</f>
        <v>2626911.1400000025</v>
      </c>
      <c r="G38" s="147">
        <f>+[2]Compromissos_Q15_16_17_18!E15</f>
        <v>1.5005008231735091</v>
      </c>
      <c r="H38" s="147">
        <f>+[2]Compromissos_Q15_16_17_18!F15</f>
        <v>1.5613855605744775</v>
      </c>
      <c r="I38" s="148">
        <f>+[2]Compromissos_Q15_16_17_18!G15</f>
        <v>-0.45025488255366553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novembro de 2025 (valores acumulados)","Table XVI - Accounts payable of the RPEs, november (accumulated)")</f>
        <v>QUADRO XVI - Contas a pagar, das Entidades Públicas Reclassificadas, no final de novembro de 2025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5" t="str">
        <f>+IF(Índice!$D$2=1,"Entidades Públicas Reclassseicadas","Reclassseied Public Entities")</f>
        <v>Entidades Públicas Reclassseicadas</v>
      </c>
      <c r="D42" s="337" t="str">
        <f>+IF(Índice!$D$2=1,"novembro 2025","november 2025")</f>
        <v>novembro 2025</v>
      </c>
      <c r="E42" s="337" t="str">
        <f>+IF(Índice!$D$2="PT","janeiro 2020","January")</f>
        <v>January</v>
      </c>
      <c r="F42" s="337" t="str">
        <f>+IF(Índice!$D$2="PT","janeiro 2020","January")</f>
        <v>January</v>
      </c>
      <c r="G42" s="338" t="str">
        <f>+IF(Índice!$D$2=1,"Variação face ao stock inicial de janeiro","Change from january initial stock")</f>
        <v>Variação face ao stock inicial de janeiro</v>
      </c>
      <c r="H42" s="339"/>
      <c r="I42" s="339"/>
    </row>
    <row r="43" spans="2:9" ht="12.75" customHeight="1">
      <c r="C43" s="346"/>
      <c r="D43" s="348" t="str">
        <f>+IF(Índice!$D$2=1,"Stock final do período","Accumulated")</f>
        <v>Stock final do período</v>
      </c>
      <c r="E43" s="349"/>
      <c r="F43" s="350"/>
      <c r="G43" s="341" t="str">
        <f>+IF(Índice!$D$2=1,"Passivo","Liabilities")</f>
        <v>Passivo</v>
      </c>
      <c r="H43" s="341" t="str">
        <f>+IF(Índice!$D$2=1,"Contas a pagar","Accounts payable")</f>
        <v>Contas a pagar</v>
      </c>
      <c r="I43" s="343" t="str">
        <f>+IF(Índice!$D$2=1,"Pagamentos em atraso","Late payments")</f>
        <v>Pagamentos em atraso</v>
      </c>
    </row>
    <row r="44" spans="2:9" ht="22.5">
      <c r="C44" s="347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2"/>
      <c r="H44" s="342"/>
      <c r="I44" s="344"/>
    </row>
    <row r="45" spans="2:9" ht="20.100000000000001" customHeight="1">
      <c r="C45" s="115" t="str">
        <f>+IF(Índice!$D$2=1,"Despesa corrente","Current expenditure")</f>
        <v>Despesa corrente</v>
      </c>
      <c r="D45" s="162">
        <f>+[2]Compromissos_Q15_16_17_18!B21</f>
        <v>66867476.769999996</v>
      </c>
      <c r="E45" s="162">
        <f>+[2]Compromissos_Q15_16_17_18!C21</f>
        <v>64343617.269999996</v>
      </c>
      <c r="F45" s="162">
        <f>+[2]Compromissos_Q15_16_17_18!D21</f>
        <v>14405454.02000002</v>
      </c>
      <c r="G45" s="91">
        <f>+[2]Compromissos_Q15_16_17_18!E21</f>
        <v>0.13387658272497793</v>
      </c>
      <c r="H45" s="91">
        <f>+[2]Compromissos_Q15_16_17_18!F21</f>
        <v>0.17628269424701881</v>
      </c>
      <c r="I45" s="116">
        <f>+[2]Compromissos_Q15_16_17_18!G21</f>
        <v>-0.59286760899116575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f>+[2]Compromissos_Q15_16_17_18!B22</f>
        <v>13832439.9</v>
      </c>
      <c r="E46" s="163">
        <f>+[2]Compromissos_Q15_16_17_18!C22</f>
        <v>5115304.8999999994</v>
      </c>
      <c r="F46" s="163">
        <f>+[2]Compromissos_Q15_16_17_18!D22</f>
        <v>368379.67999999993</v>
      </c>
      <c r="G46" s="92">
        <f>+[2]Compromissos_Q15_16_17_18!E22</f>
        <v>6.5507511574814492E-2</v>
      </c>
      <c r="H46" s="92">
        <f>+[2]Compromissos_Q15_16_17_18!F22</f>
        <v>0.19940040963401606</v>
      </c>
      <c r="I46" s="117">
        <f>+[2]Compromissos_Q15_16_17_18!G22</f>
        <v>1.6046372453692306</v>
      </c>
    </row>
    <row r="47" spans="2:9" ht="20.100000000000001" customHeight="1">
      <c r="C47" s="146" t="s">
        <v>7</v>
      </c>
      <c r="D47" s="164">
        <f>+[2]Compromissos_Q15_16_17_18!B23</f>
        <v>80699916.670000002</v>
      </c>
      <c r="E47" s="164">
        <f>+[2]Compromissos_Q15_16_17_18!C23</f>
        <v>69458922.170000002</v>
      </c>
      <c r="F47" s="164">
        <f>+[2]Compromissos_Q15_16_17_18!D23</f>
        <v>14773833.70000002</v>
      </c>
      <c r="G47" s="147">
        <f>+[2]Compromissos_Q15_16_17_18!E23</f>
        <v>0.12154143955744678</v>
      </c>
      <c r="H47" s="147">
        <f>+[2]Compromissos_Q15_16_17_18!F23</f>
        <v>0.17795475793621551</v>
      </c>
      <c r="I47" s="148">
        <f>+[2]Compromissos_Q15_16_17_18!G23</f>
        <v>-0.58411868866696526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6"/>
  <sheetViews>
    <sheetView showGridLines="0" tabSelected="1" zoomScale="85" zoomScaleNormal="85" workbookViewId="0"/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8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1" t="s">
        <v>16</v>
      </c>
      <c r="D7" s="170"/>
      <c r="E7" s="169"/>
    </row>
    <row r="8" spans="2:5">
      <c r="B8" s="195"/>
      <c r="C8" s="170" t="s">
        <v>17</v>
      </c>
      <c r="D8" s="171"/>
      <c r="E8" s="169"/>
    </row>
    <row r="9" spans="2:5">
      <c r="B9" s="195"/>
      <c r="C9" s="170" t="s">
        <v>52</v>
      </c>
      <c r="D9" s="170"/>
      <c r="E9" s="169"/>
    </row>
    <row r="10" spans="2:5">
      <c r="B10" s="195"/>
      <c r="C10" s="170" t="s">
        <v>53</v>
      </c>
      <c r="D10" s="170"/>
      <c r="E10" s="169"/>
    </row>
    <row r="11" spans="2:5">
      <c r="B11" s="195"/>
      <c r="C11" s="170" t="s">
        <v>54</v>
      </c>
      <c r="D11" s="170"/>
      <c r="E11" s="169"/>
    </row>
    <row r="12" spans="2:5">
      <c r="B12" s="195"/>
      <c r="C12" s="170" t="s">
        <v>55</v>
      </c>
      <c r="D12" s="170"/>
      <c r="E12" s="169"/>
    </row>
    <row r="13" spans="2:5">
      <c r="B13" s="195"/>
      <c r="C13" s="170" t="s">
        <v>18</v>
      </c>
      <c r="D13" s="170"/>
      <c r="E13" s="169"/>
    </row>
    <row r="14" spans="2:5">
      <c r="B14" s="195"/>
      <c r="C14" s="170" t="s">
        <v>42</v>
      </c>
      <c r="D14" s="170"/>
      <c r="E14" s="169"/>
    </row>
    <row r="15" spans="2:5">
      <c r="B15" s="195"/>
      <c r="C15" s="170" t="s">
        <v>56</v>
      </c>
      <c r="D15" s="170"/>
      <c r="E15" s="169"/>
    </row>
    <row r="16" spans="2:5">
      <c r="B16" s="195"/>
      <c r="C16" s="170" t="s">
        <v>67</v>
      </c>
      <c r="D16" s="170"/>
      <c r="E16" s="169"/>
    </row>
    <row r="17" spans="2:5">
      <c r="B17" s="195"/>
      <c r="C17" s="170" t="s">
        <v>65</v>
      </c>
      <c r="D17" s="171"/>
      <c r="E17" s="169"/>
    </row>
    <row r="18" spans="2:5">
      <c r="B18" s="195"/>
      <c r="C18" s="170" t="s">
        <v>19</v>
      </c>
      <c r="D18" s="170"/>
      <c r="E18" s="169"/>
    </row>
    <row r="19" spans="2:5">
      <c r="B19" s="195"/>
      <c r="C19" s="170" t="s">
        <v>68</v>
      </c>
      <c r="D19" s="170"/>
      <c r="E19" s="169"/>
    </row>
    <row r="20" spans="2:5">
      <c r="B20" s="195"/>
      <c r="C20" s="170" t="s">
        <v>43</v>
      </c>
      <c r="D20" s="170"/>
      <c r="E20" s="169"/>
    </row>
    <row r="21" spans="2:5">
      <c r="B21" s="195"/>
      <c r="C21" s="170" t="s">
        <v>95</v>
      </c>
      <c r="D21" s="170"/>
      <c r="E21" s="169"/>
    </row>
    <row r="22" spans="2:5">
      <c r="B22" s="195"/>
      <c r="C22" s="170" t="s">
        <v>57</v>
      </c>
      <c r="D22" s="170"/>
      <c r="E22" s="169"/>
    </row>
    <row r="23" spans="2:5">
      <c r="B23" s="195"/>
      <c r="C23" s="170" t="s">
        <v>69</v>
      </c>
      <c r="D23" s="170"/>
      <c r="E23" s="169"/>
    </row>
    <row r="24" spans="2:5">
      <c r="B24" s="195"/>
      <c r="C24" s="170" t="s">
        <v>58</v>
      </c>
      <c r="D24" s="170"/>
      <c r="E24" s="169"/>
    </row>
    <row r="25" spans="2:5">
      <c r="B25" s="195"/>
      <c r="C25" s="170" t="s">
        <v>59</v>
      </c>
      <c r="D25" s="170"/>
      <c r="E25" s="169"/>
    </row>
    <row r="26" spans="2:5">
      <c r="B26" s="195"/>
      <c r="C26" s="170" t="s">
        <v>44</v>
      </c>
      <c r="D26" s="170"/>
      <c r="E26" s="169"/>
    </row>
    <row r="27" spans="2:5">
      <c r="B27" s="195"/>
      <c r="C27" s="170" t="s">
        <v>66</v>
      </c>
      <c r="D27" s="170"/>
      <c r="E27" s="169"/>
    </row>
    <row r="28" spans="2:5">
      <c r="B28" s="195"/>
      <c r="C28" s="170" t="s">
        <v>45</v>
      </c>
      <c r="D28" s="170"/>
      <c r="E28" s="169"/>
    </row>
    <row r="29" spans="2:5">
      <c r="B29" s="55"/>
      <c r="C29" s="170" t="s">
        <v>60</v>
      </c>
      <c r="D29" s="170"/>
      <c r="E29" s="169"/>
    </row>
    <row r="30" spans="2:5">
      <c r="B30" s="55"/>
      <c r="C30" s="170" t="s">
        <v>74</v>
      </c>
      <c r="D30" s="170"/>
      <c r="E30" s="169"/>
    </row>
    <row r="31" spans="2:5">
      <c r="B31" s="55"/>
      <c r="C31" s="170" t="s">
        <v>61</v>
      </c>
      <c r="D31" s="170"/>
      <c r="E31" s="169"/>
    </row>
    <row r="32" spans="2:5">
      <c r="B32" s="55"/>
      <c r="C32" s="170" t="s">
        <v>46</v>
      </c>
      <c r="D32" s="170"/>
      <c r="E32" s="169"/>
    </row>
    <row r="33" spans="2:5">
      <c r="B33" s="55"/>
      <c r="C33" s="170" t="s">
        <v>62</v>
      </c>
      <c r="D33" s="170"/>
      <c r="E33" s="169"/>
    </row>
    <row r="34" spans="2:5">
      <c r="B34" s="55"/>
      <c r="C34" s="170" t="s">
        <v>47</v>
      </c>
      <c r="D34" s="170"/>
      <c r="E34" s="169"/>
    </row>
    <row r="35" spans="2:5">
      <c r="B35" s="55"/>
      <c r="C35" s="171" t="s">
        <v>93</v>
      </c>
      <c r="D35" s="170"/>
      <c r="E35" s="169"/>
    </row>
    <row r="36" spans="2:5">
      <c r="B36" s="55"/>
      <c r="C36" s="170" t="s">
        <v>96</v>
      </c>
      <c r="D36" s="170"/>
      <c r="E36" s="169"/>
    </row>
    <row r="37" spans="2:5">
      <c r="B37" s="55"/>
      <c r="C37" s="170" t="s">
        <v>97</v>
      </c>
      <c r="D37" s="170"/>
      <c r="E37" s="169"/>
    </row>
    <row r="38" spans="2:5">
      <c r="B38" s="55"/>
      <c r="C38" s="170" t="s">
        <v>79</v>
      </c>
      <c r="D38" s="170"/>
      <c r="E38" s="169"/>
    </row>
    <row r="39" spans="2:5">
      <c r="B39" s="55"/>
      <c r="C39" s="170" t="s">
        <v>98</v>
      </c>
      <c r="D39" s="170"/>
      <c r="E39" s="169"/>
    </row>
    <row r="40" spans="2:5">
      <c r="B40" s="55"/>
      <c r="C40" s="170" t="s">
        <v>103</v>
      </c>
      <c r="D40" s="170"/>
      <c r="E40" s="169"/>
    </row>
    <row r="41" spans="2:5">
      <c r="B41" s="55"/>
      <c r="C41" s="171" t="s">
        <v>80</v>
      </c>
      <c r="D41" s="170"/>
      <c r="E41" s="169"/>
    </row>
    <row r="42" spans="2:5">
      <c r="B42" s="55"/>
      <c r="C42" s="170" t="s">
        <v>20</v>
      </c>
      <c r="D42" s="170"/>
      <c r="E42" s="169"/>
    </row>
    <row r="43" spans="2:5">
      <c r="B43" s="55"/>
      <c r="C43" s="170" t="s">
        <v>70</v>
      </c>
      <c r="D43" s="171"/>
      <c r="E43" s="169"/>
    </row>
    <row r="44" spans="2:5">
      <c r="B44" s="55"/>
      <c r="C44" s="170" t="s">
        <v>82</v>
      </c>
      <c r="D44" s="170"/>
      <c r="E44" s="169"/>
    </row>
    <row r="45" spans="2:5">
      <c r="B45" s="55"/>
      <c r="C45" s="171" t="s">
        <v>25</v>
      </c>
      <c r="D45" s="171"/>
      <c r="E45" s="169"/>
    </row>
    <row r="46" spans="2:5">
      <c r="B46" s="55"/>
      <c r="C46" s="170" t="s">
        <v>81</v>
      </c>
      <c r="D46" s="170"/>
      <c r="E46" s="169"/>
    </row>
    <row r="47" spans="2:5">
      <c r="B47" s="55"/>
      <c r="C47" s="170" t="s">
        <v>104</v>
      </c>
      <c r="D47" s="170"/>
      <c r="E47" s="169"/>
    </row>
    <row r="48" spans="2:5">
      <c r="B48" s="55"/>
      <c r="C48" s="170" t="s">
        <v>26</v>
      </c>
      <c r="D48" s="170"/>
      <c r="E48" s="169"/>
    </row>
    <row r="49" spans="2:5">
      <c r="B49" s="55"/>
      <c r="C49" s="171" t="s">
        <v>21</v>
      </c>
      <c r="D49" s="170"/>
      <c r="E49" s="169"/>
    </row>
    <row r="50" spans="2:5">
      <c r="B50" s="55"/>
      <c r="C50" s="170" t="s">
        <v>48</v>
      </c>
      <c r="D50" s="171"/>
      <c r="E50" s="169"/>
    </row>
    <row r="51" spans="2:5">
      <c r="B51" s="55"/>
      <c r="C51" s="170" t="s">
        <v>49</v>
      </c>
      <c r="D51" s="170"/>
      <c r="E51" s="169"/>
    </row>
    <row r="52" spans="2:5">
      <c r="B52" s="55"/>
      <c r="C52" s="170" t="s">
        <v>40</v>
      </c>
      <c r="D52" s="170"/>
      <c r="E52" s="169"/>
    </row>
    <row r="53" spans="2:5">
      <c r="B53" s="55"/>
      <c r="C53" s="170" t="s">
        <v>22</v>
      </c>
      <c r="D53" s="170"/>
      <c r="E53" s="169"/>
    </row>
    <row r="54" spans="2:5">
      <c r="B54" s="55"/>
      <c r="C54" s="170" t="s">
        <v>50</v>
      </c>
      <c r="D54" s="171"/>
      <c r="E54" s="169"/>
    </row>
    <row r="55" spans="2:5">
      <c r="B55" s="55"/>
      <c r="C55" s="170" t="s">
        <v>23</v>
      </c>
    </row>
    <row r="56" spans="2:5">
      <c r="B56" s="55"/>
      <c r="C56" s="170" t="s">
        <v>24</v>
      </c>
    </row>
    <row r="57" spans="2:5">
      <c r="B57" s="55"/>
      <c r="C57" s="170" t="s">
        <v>41</v>
      </c>
    </row>
    <row r="58" spans="2:5">
      <c r="B58" s="55"/>
      <c r="C58" s="170" t="s">
        <v>83</v>
      </c>
    </row>
    <row r="59" spans="2:5">
      <c r="B59" s="55"/>
      <c r="C59" s="171" t="s">
        <v>84</v>
      </c>
    </row>
    <row r="60" spans="2:5">
      <c r="B60" s="55"/>
      <c r="C60" s="170" t="s">
        <v>81</v>
      </c>
    </row>
    <row r="61" spans="2:5">
      <c r="B61" s="55"/>
      <c r="C61" s="170" t="s">
        <v>75</v>
      </c>
    </row>
    <row r="62" spans="2:5">
      <c r="B62" s="55"/>
      <c r="C62" s="170" t="s">
        <v>72</v>
      </c>
    </row>
    <row r="63" spans="2:5">
      <c r="B63" s="55"/>
      <c r="C63" s="170" t="s">
        <v>85</v>
      </c>
    </row>
    <row r="64" spans="2:5">
      <c r="B64" s="55"/>
      <c r="C64" s="171" t="s">
        <v>71</v>
      </c>
    </row>
    <row r="65" spans="2:3">
      <c r="B65" s="55"/>
      <c r="C65" s="170" t="s">
        <v>81</v>
      </c>
    </row>
    <row r="66" spans="2:3">
      <c r="B66" s="55"/>
      <c r="C66" s="170" t="s">
        <v>63</v>
      </c>
    </row>
    <row r="67" spans="2:3">
      <c r="B67" s="55"/>
      <c r="C67" s="170" t="s">
        <v>27</v>
      </c>
    </row>
    <row r="68" spans="2:3">
      <c r="B68" s="55"/>
      <c r="C68" s="170" t="s">
        <v>99</v>
      </c>
    </row>
    <row r="69" spans="2:3">
      <c r="B69" s="55"/>
      <c r="C69" s="170" t="s">
        <v>86</v>
      </c>
    </row>
    <row r="70" spans="2:3">
      <c r="B70" s="55"/>
      <c r="C70" s="171" t="s">
        <v>78</v>
      </c>
    </row>
    <row r="71" spans="2:3">
      <c r="B71" s="55"/>
      <c r="C71" s="170" t="s">
        <v>81</v>
      </c>
    </row>
    <row r="72" spans="2:3">
      <c r="B72" s="55"/>
      <c r="C72" s="170" t="s">
        <v>28</v>
      </c>
    </row>
    <row r="73" spans="2:3" ht="13.5" customHeight="1">
      <c r="B73" s="55"/>
      <c r="C73" s="170" t="s">
        <v>29</v>
      </c>
    </row>
    <row r="74" spans="2:3" ht="13.5" customHeight="1">
      <c r="B74" s="55"/>
      <c r="C74" s="170" t="s">
        <v>30</v>
      </c>
    </row>
    <row r="75" spans="2:3" ht="13.5" customHeight="1">
      <c r="B75" s="55"/>
      <c r="C75" s="170" t="s">
        <v>87</v>
      </c>
    </row>
    <row r="76" spans="2:3" ht="13.5" customHeight="1">
      <c r="B76" s="55"/>
      <c r="C76" s="289" t="s">
        <v>88</v>
      </c>
    </row>
    <row r="77" spans="2:3" ht="13.5" customHeight="1">
      <c r="B77" s="55"/>
      <c r="C77" s="170"/>
    </row>
    <row r="78" spans="2:3" ht="30.75" customHeight="1">
      <c r="B78" s="16"/>
      <c r="C78" s="321" t="s">
        <v>11</v>
      </c>
    </row>
    <row r="79" spans="2:3">
      <c r="B79" s="55"/>
      <c r="C79" s="288" t="s">
        <v>13</v>
      </c>
    </row>
    <row r="80" spans="2:3">
      <c r="B80" s="55"/>
      <c r="C80" s="170" t="s">
        <v>13</v>
      </c>
    </row>
    <row r="81" spans="2:3">
      <c r="B81" s="55"/>
      <c r="C81" s="171" t="s">
        <v>16</v>
      </c>
    </row>
    <row r="82" spans="2:3">
      <c r="B82" s="55"/>
      <c r="C82" s="170" t="s">
        <v>73</v>
      </c>
    </row>
    <row r="83" spans="2:3">
      <c r="B83" s="55"/>
      <c r="C83" s="170" t="s">
        <v>94</v>
      </c>
    </row>
    <row r="84" spans="2:3">
      <c r="B84" s="55"/>
      <c r="C84" s="170" t="s">
        <v>100</v>
      </c>
    </row>
    <row r="85" spans="2:3">
      <c r="B85" s="55"/>
      <c r="C85" s="170" t="s">
        <v>89</v>
      </c>
    </row>
    <row r="86" spans="2:3">
      <c r="B86" s="55"/>
      <c r="C86" s="170" t="s">
        <v>101</v>
      </c>
    </row>
    <row r="87" spans="2:3">
      <c r="B87" s="55"/>
      <c r="C87" s="171" t="s">
        <v>93</v>
      </c>
    </row>
    <row r="88" spans="2:3">
      <c r="B88" s="55"/>
      <c r="C88" s="170" t="s">
        <v>64</v>
      </c>
    </row>
    <row r="89" spans="2:3">
      <c r="B89" s="55"/>
      <c r="C89" s="171" t="s">
        <v>80</v>
      </c>
    </row>
    <row r="90" spans="2:3">
      <c r="B90" s="55"/>
      <c r="C90" s="170" t="s">
        <v>32</v>
      </c>
    </row>
    <row r="91" spans="2:3">
      <c r="B91" s="55"/>
      <c r="C91" s="170" t="s">
        <v>90</v>
      </c>
    </row>
    <row r="92" spans="2:3">
      <c r="B92" s="55"/>
      <c r="C92" s="171" t="s">
        <v>25</v>
      </c>
    </row>
    <row r="93" spans="2:3">
      <c r="B93" s="55"/>
      <c r="C93" s="170" t="s">
        <v>35</v>
      </c>
    </row>
    <row r="94" spans="2:3">
      <c r="B94" s="55"/>
      <c r="C94" s="171" t="s">
        <v>21</v>
      </c>
    </row>
    <row r="95" spans="2:3">
      <c r="B95" s="55"/>
      <c r="C95" s="170" t="s">
        <v>31</v>
      </c>
    </row>
    <row r="96" spans="2:3">
      <c r="B96" s="55"/>
      <c r="C96" s="170" t="s">
        <v>33</v>
      </c>
    </row>
    <row r="97" spans="2:3">
      <c r="B97" s="55"/>
      <c r="C97" s="170" t="s">
        <v>34</v>
      </c>
    </row>
    <row r="98" spans="2:3">
      <c r="B98" s="55"/>
      <c r="C98" s="170" t="s">
        <v>51</v>
      </c>
    </row>
    <row r="99" spans="2:3">
      <c r="B99" s="55"/>
      <c r="C99" s="171" t="s">
        <v>84</v>
      </c>
    </row>
    <row r="100" spans="2:3">
      <c r="B100" s="55"/>
      <c r="C100" s="170" t="s">
        <v>102</v>
      </c>
    </row>
    <row r="101" spans="2:3">
      <c r="B101" s="55"/>
      <c r="C101" s="170" t="s">
        <v>77</v>
      </c>
    </row>
    <row r="102" spans="2:3">
      <c r="B102" s="55"/>
      <c r="C102" s="171" t="s">
        <v>71</v>
      </c>
    </row>
    <row r="103" spans="2:3">
      <c r="B103" s="55"/>
      <c r="C103" s="170" t="s">
        <v>64</v>
      </c>
    </row>
    <row r="104" spans="2:3">
      <c r="B104" s="55"/>
      <c r="C104" s="170" t="s">
        <v>102</v>
      </c>
    </row>
    <row r="105" spans="2:3">
      <c r="C105" s="170" t="s">
        <v>77</v>
      </c>
    </row>
    <row r="106" spans="2:3">
      <c r="C106" s="171" t="s">
        <v>78</v>
      </c>
    </row>
    <row r="107" spans="2:3">
      <c r="C107" s="170" t="s">
        <v>36</v>
      </c>
    </row>
    <row r="108" spans="2:3">
      <c r="C108" s="170" t="s">
        <v>37</v>
      </c>
    </row>
    <row r="109" spans="2:3">
      <c r="C109" s="170" t="s">
        <v>38</v>
      </c>
    </row>
    <row r="110" spans="2:3">
      <c r="C110" s="170" t="s">
        <v>39</v>
      </c>
    </row>
    <row r="111" spans="2:3">
      <c r="C111" s="170" t="s">
        <v>76</v>
      </c>
    </row>
    <row r="112" spans="2:3">
      <c r="C112" s="170" t="s">
        <v>91</v>
      </c>
    </row>
    <row r="113" spans="3:3">
      <c r="C113" s="170" t="s">
        <v>92</v>
      </c>
    </row>
    <row r="114" spans="3:3">
      <c r="C114" s="289"/>
    </row>
    <row r="115" spans="3:3">
      <c r="C115" s="352"/>
    </row>
    <row r="116" spans="3:3">
      <c r="C116" s="353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zoomScale="85" zoomScaleNormal="85" workbookViewId="0">
      <selection activeCell="N33" sqref="N33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D8" sqref="D8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(janeiro-novembro)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(janeiro-novembro)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(novembro)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(janeiro-novembro)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(janeiro-novembro)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(janeiro-novembro)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(janeiro-novembro)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(janeiro-novembro)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(janeiro-novembro)</v>
      </c>
      <c r="B11" s="217"/>
      <c r="C11" s="217"/>
      <c r="D11" s="217"/>
    </row>
    <row r="12" spans="1:25" s="179" customFormat="1" ht="20.100000000000001" customHeight="1">
      <c r="A12" s="283" t="str">
        <f>+'Q10_SFA '!C2</f>
        <v>QUADRO X - Execução orçamental dos Serviços e Fundos Autónomos e EPR (janeiro-novembro)</v>
      </c>
      <c r="B12" s="284"/>
      <c r="C12" s="284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(janeiro-novembro)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(novembro)</v>
      </c>
      <c r="B14" s="217"/>
      <c r="C14" s="217"/>
      <c r="D14" s="217"/>
    </row>
    <row r="15" spans="1:25" s="179" customFormat="1" ht="20.100000000000001" customHeight="1">
      <c r="A15" s="283" t="str">
        <f>+Q_13_14_15_16_Compromissos!C2</f>
        <v>QUADRO XIII - Contas a pagar, da Administração Regional, no final de novembro de 2025 (valores acumulados)</v>
      </c>
      <c r="B15" s="284"/>
      <c r="C15" s="284"/>
      <c r="D15" s="284"/>
    </row>
    <row r="16" spans="1:25" s="179" customFormat="1" ht="20.100000000000001" customHeight="1">
      <c r="A16" s="283" t="str">
        <f>+Q_13_14_15_16_Compromissos!C23</f>
        <v>QUADRO XIV - Contas a pagar, do Governo Regional, no final de novembro de 2025 (valores acumulados)</v>
      </c>
      <c r="B16" s="284"/>
      <c r="C16" s="284"/>
      <c r="D16" s="284"/>
    </row>
    <row r="17" spans="1:4" s="179" customFormat="1" ht="20.100000000000001" customHeight="1">
      <c r="A17" s="283" t="str">
        <f>+Q_13_14_15_16_Compromissos!C32</f>
        <v>QUADRO XV - Contas a pagar, dos Serviços e Fundos Autónomos, no final de novembro de 2025 (valores acumulados)</v>
      </c>
      <c r="B17" s="284"/>
      <c r="C17" s="284"/>
      <c r="D17" s="284"/>
    </row>
    <row r="18" spans="1:4" s="169" customFormat="1" ht="20.100000000000001" customHeight="1">
      <c r="A18" s="269" t="str">
        <f>+Q_13_14_15_16_Compromissos!C41</f>
        <v>QUADRO XVI - Contas a pagar, das Entidades Públicas Reclassificadas, no final de novembro de 2025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'!C78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4"/>
      <c r="C21" s="284"/>
      <c r="D21" s="284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78" display="'Pagamentos_Atraso '!B78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L13" sqref="L13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(janeiro-novembro)","TABLE I - Consolidated budget execution (january-november)")</f>
        <v>QUADRO I - Execução orçamental consolidada (janeiro-novembro)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2025","Consolidated balance")</f>
        <v>Saldo
consolidado
2025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f>+[2]Consolidado_Q1!M67</f>
        <v>1449388.9809300001</v>
      </c>
      <c r="E5" s="57">
        <f>+[2]Consolidado_Q1!N67</f>
        <v>576376.80051999993</v>
      </c>
      <c r="F5" s="57">
        <f>+[2]Consolidado_Q1!O67</f>
        <v>378057.17907999991</v>
      </c>
      <c r="G5" s="57">
        <f>+[2]Consolidado_Q1!P67</f>
        <v>1571338.08711</v>
      </c>
      <c r="H5" s="57">
        <f>+[2]Consolidado_Q1!R67</f>
        <v>4.4618055981548554</v>
      </c>
    </row>
    <row r="6" spans="1:10" ht="11.25" customHeight="1">
      <c r="C6" s="68" t="str">
        <f>+IF(Índice!$D$2=1,"Impostos diretos","Direct taxes")</f>
        <v>Impostos diretos</v>
      </c>
      <c r="D6" s="56">
        <f>+[2]Consolidado_Q1!M68</f>
        <v>411937.75789000001</v>
      </c>
      <c r="E6" s="56">
        <f>+[2]Consolidado_Q1!N68</f>
        <v>0</v>
      </c>
      <c r="F6" s="56">
        <f>+[2]Consolidado_Q1!O68</f>
        <v>0</v>
      </c>
      <c r="G6" s="56">
        <f>+[2]Consolidado_Q1!P68</f>
        <v>411937.75789000001</v>
      </c>
      <c r="H6" s="56">
        <f>+[2]Consolidado_Q1!R68</f>
        <v>-3.3749872726832608</v>
      </c>
    </row>
    <row r="7" spans="1:10">
      <c r="C7" s="68" t="str">
        <f>+IF(Índice!$D$2=1,"Impostos indiretos","Indirect taxes")</f>
        <v>Impostos indiretos</v>
      </c>
      <c r="D7" s="56">
        <f>+[2]Consolidado_Q1!M69</f>
        <v>717419.03096</v>
      </c>
      <c r="E7" s="56">
        <f>+[2]Consolidado_Q1!N69</f>
        <v>0</v>
      </c>
      <c r="F7" s="56">
        <f>+[2]Consolidado_Q1!O69</f>
        <v>0</v>
      </c>
      <c r="G7" s="56">
        <f>+[2]Consolidado_Q1!P69</f>
        <v>717419.03096</v>
      </c>
      <c r="H7" s="56">
        <f>+[2]Consolidado_Q1!R69</f>
        <v>0.6396774159682872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f>+[2]Consolidado_Q1!M70</f>
        <v>0</v>
      </c>
      <c r="E8" s="56">
        <f>+[2]Consolidado_Q1!N70</f>
        <v>0</v>
      </c>
      <c r="F8" s="56">
        <f>+[2]Consolidado_Q1!O70</f>
        <v>0</v>
      </c>
      <c r="G8" s="56">
        <f>+[2]Consolidado_Q1!P70</f>
        <v>0</v>
      </c>
      <c r="H8" s="56">
        <f>+[2]Consolidado_Q1!R70</f>
        <v>0</v>
      </c>
    </row>
    <row r="9" spans="1:10">
      <c r="C9" s="68" t="str">
        <f>+IF(Índice!$D$2=1,"Outras receitas correntes","Other current revenues")</f>
        <v>Outras receitas correntes</v>
      </c>
      <c r="D9" s="56">
        <f>+[2]Consolidado_Q1!M71</f>
        <v>320032.19207999995</v>
      </c>
      <c r="E9" s="56">
        <f>+[2]Consolidado_Q1!N71</f>
        <v>576376.80051999993</v>
      </c>
      <c r="F9" s="56">
        <f>+[2]Consolidado_Q1!O71</f>
        <v>378057.17907999991</v>
      </c>
      <c r="G9" s="56">
        <f>+[2]Consolidado_Q1!P71</f>
        <v>437709.48558999994</v>
      </c>
      <c r="H9" s="56">
        <f>+[2]Consolidado_Q1!R71</f>
        <v>22.620679597830385</v>
      </c>
    </row>
    <row r="10" spans="1:10">
      <c r="C10" s="69" t="str">
        <f>+IF(Índice!$D$2=1,"Transferências correntes","Current transfers")</f>
        <v>Transferências correntes</v>
      </c>
      <c r="D10" s="56">
        <f>+[2]Consolidado_Q1!M72</f>
        <v>271953.63123</v>
      </c>
      <c r="E10" s="56">
        <f>+[2]Consolidado_Q1!N72</f>
        <v>558332.26815999998</v>
      </c>
      <c r="F10" s="56">
        <f>+[2]Consolidado_Q1!O72</f>
        <v>326553.53563999996</v>
      </c>
      <c r="G10" s="56">
        <f>+[2]Consolidado_Q1!P72</f>
        <v>320104.69589000009</v>
      </c>
      <c r="H10" s="56">
        <f>+[2]Consolidado_Q1!R72</f>
        <v>23.808205119259117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f>+[2]Consolidado_Q1!M73</f>
        <v>266236.47055999999</v>
      </c>
      <c r="E11" s="56">
        <f>+[2]Consolidado_Q1!N73</f>
        <v>1442.00595</v>
      </c>
      <c r="F11" s="56">
        <f>+[2]Consolidado_Q1!O73</f>
        <v>52.937870000000004</v>
      </c>
      <c r="G11" s="56">
        <f>+[2]Consolidado_Q1!P73</f>
        <v>267731.41437999997</v>
      </c>
      <c r="H11" s="56">
        <f>+[2]Consolidado_Q1!R73</f>
        <v>26.195818762446098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f>+[2]Consolidado_Q1!M74</f>
        <v>0</v>
      </c>
      <c r="E12" s="56">
        <f>+[2]Consolidado_Q1!N74</f>
        <v>512425.37321999978</v>
      </c>
      <c r="F12" s="56">
        <f>+[2]Consolidado_Q1!O74</f>
        <v>324309.36591999995</v>
      </c>
      <c r="G12" s="56">
        <f>+[2]Consolidado_Q1!P74</f>
        <v>0</v>
      </c>
      <c r="H12" s="56">
        <f>+[2]Consolidado_Q1!R74</f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f>+[2]Consolidado_Q1!M75</f>
        <v>0</v>
      </c>
      <c r="E13" s="56">
        <f>+[2]Consolidado_Q1!N75</f>
        <v>0</v>
      </c>
      <c r="F13" s="56">
        <f>+[2]Consolidado_Q1!O75</f>
        <v>0</v>
      </c>
      <c r="G13" s="56">
        <f>+[2]Consolidado_Q1!P75</f>
        <v>4271.8126699998393</v>
      </c>
      <c r="H13" s="56">
        <f>+[2]Consolidado_Q1!R75</f>
        <v>0</v>
      </c>
    </row>
    <row r="14" spans="1:10">
      <c r="C14" s="57" t="str">
        <f>+IF(Índice!$D$2=1,"Receita de capital","Capital revenue")</f>
        <v>Receita de capital</v>
      </c>
      <c r="D14" s="57">
        <f>+[2]Consolidado_Q1!M76</f>
        <v>137445.41769000003</v>
      </c>
      <c r="E14" s="57">
        <f>+[2]Consolidado_Q1!N76</f>
        <v>9494.5071800000023</v>
      </c>
      <c r="F14" s="57">
        <f>+[2]Consolidado_Q1!O76</f>
        <v>105298.51938000003</v>
      </c>
      <c r="G14" s="57">
        <f>+[2]Consolidado_Q1!P76</f>
        <v>208101.57540000009</v>
      </c>
      <c r="H14" s="57">
        <f>+[2]Consolidado_Q1!R76</f>
        <v>7.3852155255047958</v>
      </c>
    </row>
    <row r="15" spans="1:10">
      <c r="C15" s="68" t="str">
        <f>+IF(Índice!$D$2=1,"Venda de bens de investimento","Sale of investment goods")</f>
        <v>Venda de bens de investimento</v>
      </c>
      <c r="D15" s="56">
        <f>+[2]Consolidado_Q1!M77</f>
        <v>5958.7262199999996</v>
      </c>
      <c r="E15" s="56">
        <f>+[2]Consolidado_Q1!N77</f>
        <v>0</v>
      </c>
      <c r="F15" s="56">
        <f>+[2]Consolidado_Q1!O77</f>
        <v>2757.4862099999996</v>
      </c>
      <c r="G15" s="56">
        <f>+[2]Consolidado_Q1!P77</f>
        <v>8716.2124299999996</v>
      </c>
      <c r="H15" s="56">
        <f>+[2]Consolidado_Q1!R77</f>
        <v>256.77972549318167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f>+[2]Consolidado_Q1!M78</f>
        <v>128228.80903000002</v>
      </c>
      <c r="E16" s="56">
        <f>+[2]Consolidado_Q1!N78</f>
        <v>9406.7041800000025</v>
      </c>
      <c r="F16" s="56">
        <f>+[2]Consolidado_Q1!O78</f>
        <v>102459.61923000001</v>
      </c>
      <c r="G16" s="56">
        <f>+[2]Consolidado_Q1!P78</f>
        <v>191277.46057000002</v>
      </c>
      <c r="H16" s="56">
        <f>+[2]Consolidado_Q1!R78</f>
        <v>4.1395765566328624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f>+[2]Consolidado_Q1!M79</f>
        <v>93237.670469999997</v>
      </c>
      <c r="E17" s="56">
        <f>+[2]Consolidado_Q1!N79</f>
        <v>170.06301000000002</v>
      </c>
      <c r="F17" s="56">
        <f>+[2]Consolidado_Q1!O79</f>
        <v>0</v>
      </c>
      <c r="G17" s="56">
        <f>+[2]Consolidado_Q1!P79</f>
        <v>93407.733479999995</v>
      </c>
      <c r="H17" s="56">
        <f>+[2]Consolidado_Q1!R79</f>
        <v>-23.549209701929286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f>+[2]Consolidado_Q1!M80</f>
        <v>0</v>
      </c>
      <c r="E18" s="56">
        <f>+[2]Consolidado_Q1!N80</f>
        <v>1702.1166099999998</v>
      </c>
      <c r="F18" s="56">
        <f>+[2]Consolidado_Q1!O80</f>
        <v>47115.555260000001</v>
      </c>
      <c r="G18" s="56">
        <f>+[2]Consolidado_Q1!P80</f>
        <v>0</v>
      </c>
      <c r="H18" s="56">
        <f>+[2]Consolidado_Q1!R80</f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f>+[2]Consolidado_Q1!M81</f>
        <v>0</v>
      </c>
      <c r="E19" s="56">
        <f>+[2]Consolidado_Q1!N81</f>
        <v>0</v>
      </c>
      <c r="F19" s="56">
        <f>+[2]Consolidado_Q1!O81</f>
        <v>0</v>
      </c>
      <c r="G19" s="56">
        <f>+[2]Consolidado_Q1!P81</f>
        <v>4680.8030200000067</v>
      </c>
      <c r="H19" s="56">
        <f>+[2]Consolidado_Q1!R81</f>
        <v>0</v>
      </c>
    </row>
    <row r="20" spans="3:8">
      <c r="C20" s="57" t="str">
        <f>+IF(Índice!$D$2=1,"Receita efetiva","Effective revenue")</f>
        <v>Receita efetiva</v>
      </c>
      <c r="D20" s="57">
        <f>+[2]Consolidado_Q1!M82</f>
        <v>1586834.3986200001</v>
      </c>
      <c r="E20" s="57">
        <f>+[2]Consolidado_Q1!N82</f>
        <v>585871.30769999989</v>
      </c>
      <c r="F20" s="57">
        <f>+[2]Consolidado_Q1!O82</f>
        <v>483355.69845999993</v>
      </c>
      <c r="G20" s="57">
        <f>+[2]Consolidado_Q1!P82</f>
        <v>1779439.6625100002</v>
      </c>
      <c r="H20" s="57">
        <f>+[2]Consolidado_Q1!R82</f>
        <v>4.7954468481636869</v>
      </c>
    </row>
    <row r="21" spans="3:8" ht="20.25" customHeight="1">
      <c r="C21" s="220" t="str">
        <f>+IF(Índice!$D$2=1,"Despesa corrente","Current expenditure")</f>
        <v>Despesa corrente</v>
      </c>
      <c r="D21" s="220">
        <f>+[2]Consolidado_Q1!M83</f>
        <v>1319221.7722900007</v>
      </c>
      <c r="E21" s="220">
        <f>+[2]Consolidado_Q1!N83</f>
        <v>550864.23456000001</v>
      </c>
      <c r="F21" s="220">
        <f>+[2]Consolidado_Q1!O83</f>
        <v>408071.61315999978</v>
      </c>
      <c r="G21" s="220">
        <f>+[2]Consolidado_Q1!P83</f>
        <v>1445672.7465900008</v>
      </c>
      <c r="H21" s="220">
        <f>+[2]Consolidado_Q1!R83</f>
        <v>5.2678422819199877</v>
      </c>
    </row>
    <row r="22" spans="3:8" ht="10.5" customHeight="1">
      <c r="C22" s="68" t="str">
        <f>+IF(Índice!$D$2=1,"Consumo público","Public consumption")</f>
        <v>Consumo público</v>
      </c>
      <c r="D22" s="56">
        <f>+[2]Consolidado_Q1!M84</f>
        <v>589462.88017999975</v>
      </c>
      <c r="E22" s="56">
        <f>+[2]Consolidado_Q1!N84</f>
        <v>179797.18312</v>
      </c>
      <c r="F22" s="56">
        <f>+[2]Consolidado_Q1!O84</f>
        <v>394323.67355999979</v>
      </c>
      <c r="G22" s="56">
        <f>+[2]Consolidado_Q1!P84</f>
        <v>1163583.7368599996</v>
      </c>
      <c r="H22" s="56">
        <f>+[2]Consolidado_Q1!R84</f>
        <v>6.081120423202302</v>
      </c>
    </row>
    <row r="23" spans="3:8">
      <c r="C23" s="69" t="str">
        <f>+IF(Índice!$D$2=1,"Despesas com o pessoal","Compensation of employees")</f>
        <v>Despesas com o pessoal</v>
      </c>
      <c r="D23" s="56">
        <f>+[2]Consolidado_Q1!M85</f>
        <v>445575.9868199997</v>
      </c>
      <c r="E23" s="56">
        <f>+[2]Consolidado_Q1!N85</f>
        <v>58465.658599999944</v>
      </c>
      <c r="F23" s="56">
        <f>+[2]Consolidado_Q1!O85</f>
        <v>273081.7712199997</v>
      </c>
      <c r="G23" s="56">
        <f>+[2]Consolidado_Q1!P85</f>
        <v>777123.41663999937</v>
      </c>
      <c r="H23" s="56">
        <f>+[2]Consolidado_Q1!R85</f>
        <v>6.6457409218252161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f>+[2]Consolidado_Q1!M86</f>
        <v>143886.89336000005</v>
      </c>
      <c r="E24" s="56">
        <f>+[2]Consolidado_Q1!N86</f>
        <v>121331.52452000006</v>
      </c>
      <c r="F24" s="56">
        <f>+[2]Consolidado_Q1!O86</f>
        <v>121241.90234000007</v>
      </c>
      <c r="G24" s="56">
        <f>+[2]Consolidado_Q1!P86</f>
        <v>386460.32022000017</v>
      </c>
      <c r="H24" s="56">
        <f>+[2]Consolidado_Q1!R86</f>
        <v>4.9636472027179357</v>
      </c>
    </row>
    <row r="25" spans="3:8">
      <c r="C25" s="68" t="str">
        <f>+IF(Índice!$D$2=1,"Subsídios","Subsidies")</f>
        <v>Subsídios</v>
      </c>
      <c r="D25" s="56">
        <f>+[2]Consolidado_Q1!M87</f>
        <v>5367.6739299999999</v>
      </c>
      <c r="E25" s="56">
        <f>+[2]Consolidado_Q1!N87</f>
        <v>29613.967220000002</v>
      </c>
      <c r="F25" s="56">
        <f>+[2]Consolidado_Q1!O87</f>
        <v>11.661100000000001</v>
      </c>
      <c r="G25" s="56">
        <f>+[2]Consolidado_Q1!P87</f>
        <v>34971.355300000003</v>
      </c>
      <c r="H25" s="56">
        <f>+[2]Consolidado_Q1!R87</f>
        <v>2.5225253802390046</v>
      </c>
    </row>
    <row r="26" spans="3:8">
      <c r="C26" s="68" t="str">
        <f>+IF(Índice!$D$2=1,"Juros e outros encargos","Interests and other charges")</f>
        <v>Juros e outros encargos</v>
      </c>
      <c r="D26" s="56">
        <f>+[2]Consolidado_Q1!M88</f>
        <v>108297.21162</v>
      </c>
      <c r="E26" s="56">
        <f>+[2]Consolidado_Q1!N88</f>
        <v>2221.5760799999998</v>
      </c>
      <c r="F26" s="56">
        <f>+[2]Consolidado_Q1!O88</f>
        <v>749.47802000000001</v>
      </c>
      <c r="G26" s="56">
        <f>+[2]Consolidado_Q1!P88</f>
        <v>111268.26572</v>
      </c>
      <c r="H26" s="56">
        <f>+[2]Consolidado_Q1!R88</f>
        <v>-7.0382461863305767</v>
      </c>
    </row>
    <row r="27" spans="3:8">
      <c r="C27" s="68" t="str">
        <f>+IF(Índice!$D$2=1,"Transferências correntes","Current transfers")</f>
        <v>Transferências correntes</v>
      </c>
      <c r="D27" s="56">
        <f>+[2]Consolidado_Q1!M89</f>
        <v>616094.00656000106</v>
      </c>
      <c r="E27" s="56">
        <f>+[2]Consolidado_Q1!N89</f>
        <v>339231.50813999999</v>
      </c>
      <c r="F27" s="56">
        <f>+[2]Consolidado_Q1!O89</f>
        <v>12986.800480000002</v>
      </c>
      <c r="G27" s="56">
        <f>+[2]Consolidado_Q1!P89</f>
        <v>135849.38871000125</v>
      </c>
      <c r="H27" s="56">
        <f>+[2]Consolidado_Q1!R89</f>
        <v>10.76770635575317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f>+[2]Consolidado_Q1!M90</f>
        <v>50</v>
      </c>
      <c r="E28" s="56">
        <f>+[2]Consolidado_Q1!N90</f>
        <v>2800.7875400000003</v>
      </c>
      <c r="F28" s="56">
        <f>+[2]Consolidado_Q1!O90</f>
        <v>0</v>
      </c>
      <c r="G28" s="56">
        <f>+[2]Consolidado_Q1!P90</f>
        <v>2850.7875400000003</v>
      </c>
      <c r="H28" s="56">
        <f>+[2]Consolidado_Q1!R90</f>
        <v>16.39202402980753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f>+[2]Consolidado_Q1!M91</f>
        <v>533505.33739999984</v>
      </c>
      <c r="E29" s="56">
        <f>+[2]Consolidado_Q1!N91</f>
        <v>298957.58907000005</v>
      </c>
      <c r="F29" s="56">
        <f>+[2]Consolidado_Q1!O91</f>
        <v>0</v>
      </c>
      <c r="G29" s="56">
        <f>+[2]Consolidado_Q1!P91</f>
        <v>0</v>
      </c>
      <c r="H29" s="56">
        <f>+[2]Consolidado_Q1!R91</f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f>+[2]Consolidado_Q1!M92</f>
        <v>0</v>
      </c>
      <c r="E30" s="56">
        <f>+[2]Consolidado_Q1!N92</f>
        <v>0</v>
      </c>
      <c r="F30" s="56">
        <f>+[2]Consolidado_Q1!O92</f>
        <v>0</v>
      </c>
      <c r="G30" s="56">
        <f>+[2]Consolidado_Q1!P92</f>
        <v>0</v>
      </c>
      <c r="H30" s="56">
        <f>+[2]Consolidado_Q1!R92</f>
        <v>0</v>
      </c>
    </row>
    <row r="31" spans="3:8">
      <c r="C31" s="57" t="str">
        <f>+IF(Índice!$D$2=1,"Despesa de capital","Capital expenditure")</f>
        <v>Despesa de capital</v>
      </c>
      <c r="D31" s="57">
        <f>+[2]Consolidado_Q1!M93</f>
        <v>142945.81169999996</v>
      </c>
      <c r="E31" s="57">
        <f>+[2]Consolidado_Q1!N93</f>
        <v>8164.1343199999992</v>
      </c>
      <c r="F31" s="57">
        <f>+[2]Consolidado_Q1!O93</f>
        <v>100194.08845000002</v>
      </c>
      <c r="G31" s="57">
        <f>+[2]Consolidado_Q1!P93</f>
        <v>207167.16561999999</v>
      </c>
      <c r="H31" s="57">
        <f>+[2]Consolidado_Q1!R93</f>
        <v>15.625662093050741</v>
      </c>
    </row>
    <row r="32" spans="3:8">
      <c r="C32" s="68" t="str">
        <f>+IF(Índice!$D$2=1,"Investimento","Investment")</f>
        <v>Investimento</v>
      </c>
      <c r="D32" s="56">
        <f>+[2]Consolidado_Q1!M94</f>
        <v>65671.841389999943</v>
      </c>
      <c r="E32" s="56">
        <f>+[2]Consolidado_Q1!N94</f>
        <v>3785.2251599999995</v>
      </c>
      <c r="F32" s="56">
        <f>+[2]Consolidado_Q1!O94</f>
        <v>99205.781840000025</v>
      </c>
      <c r="G32" s="56">
        <f>+[2]Consolidado_Q1!P94</f>
        <v>168662.84838999997</v>
      </c>
      <c r="H32" s="56">
        <f>+[2]Consolidado_Q1!R94</f>
        <v>10.192446075312667</v>
      </c>
    </row>
    <row r="33" spans="3:8">
      <c r="C33" s="68" t="str">
        <f>+IF(Índice!$D$2=1,"Transferências capital","Capital transfers")</f>
        <v>Transferências capital</v>
      </c>
      <c r="D33" s="56">
        <f>+[2]Consolidado_Q1!M95</f>
        <v>77273.970310000019</v>
      </c>
      <c r="E33" s="56">
        <f>+[2]Consolidado_Q1!N95</f>
        <v>4378.9091600000002</v>
      </c>
      <c r="F33" s="56">
        <f>+[2]Consolidado_Q1!O95</f>
        <v>988.30661000000009</v>
      </c>
      <c r="G33" s="56">
        <f>+[2]Consolidado_Q1!P95</f>
        <v>38504.317230000022</v>
      </c>
      <c r="H33" s="56">
        <f>+[2]Consolidado_Q1!R95</f>
        <v>57.644357743782827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f>+[2]Consolidado_Q1!M96</f>
        <v>17022.32156</v>
      </c>
      <c r="E34" s="56">
        <f>+[2]Consolidado_Q1!N96</f>
        <v>0</v>
      </c>
      <c r="F34" s="56">
        <f>+[2]Consolidado_Q1!O96</f>
        <v>0</v>
      </c>
      <c r="G34" s="56">
        <f>+[2]Consolidado_Q1!P96</f>
        <v>17022.32156</v>
      </c>
      <c r="H34" s="56">
        <f>+[2]Consolidado_Q1!R96</f>
        <v>49.411401471009022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f>+[2]Consolidado_Q1!M97</f>
        <v>44136.868849999992</v>
      </c>
      <c r="E35" s="56">
        <f>+[2]Consolidado_Q1!N97</f>
        <v>0</v>
      </c>
      <c r="F35" s="56">
        <f>+[2]Consolidado_Q1!O97</f>
        <v>0</v>
      </c>
      <c r="G35" s="56">
        <f>+[2]Consolidado_Q1!P97</f>
        <v>0</v>
      </c>
      <c r="H35" s="56">
        <f>+[2]Consolidado_Q1!R97</f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f>+[2]Consolidado_Q1!M98</f>
        <v>0</v>
      </c>
      <c r="E36" s="56">
        <f>+[2]Consolidado_Q1!N98</f>
        <v>0</v>
      </c>
      <c r="F36" s="56">
        <f>+[2]Consolidado_Q1!O98</f>
        <v>0</v>
      </c>
      <c r="G36" s="56">
        <f>+[2]Consolidado_Q1!P98</f>
        <v>0</v>
      </c>
      <c r="H36" s="56">
        <f>+[2]Consolidado_Q1!R98</f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f>+[2]Consolidado_Q1!M100</f>
        <v>1462167.5839900007</v>
      </c>
      <c r="E38" s="86">
        <f>+[2]Consolidado_Q1!N100</f>
        <v>559028.36887999997</v>
      </c>
      <c r="F38" s="86">
        <f>+[2]Consolidado_Q1!O100</f>
        <v>508265.70160999981</v>
      </c>
      <c r="G38" s="86">
        <f>+[2]Consolidado_Q1!P100</f>
        <v>1652839.9122100007</v>
      </c>
      <c r="H38" s="86">
        <f>+[2]Consolidado_Q1!R100</f>
        <v>6.4632163610860882</v>
      </c>
    </row>
    <row r="39" spans="3:8" ht="17.25" customHeight="1">
      <c r="C39" s="138" t="str">
        <f>+IF(Índice!$D$2=1,"Saldo global","Overall balance")</f>
        <v>Saldo global</v>
      </c>
      <c r="D39" s="139">
        <f>+[2]Consolidado_Q1!M101</f>
        <v>124666.81462999946</v>
      </c>
      <c r="E39" s="139">
        <f>+[2]Consolidado_Q1!N101</f>
        <v>26842.938819999923</v>
      </c>
      <c r="F39" s="139">
        <f>+[2]Consolidado_Q1!O101</f>
        <v>-24910.003149999888</v>
      </c>
      <c r="G39" s="139">
        <f>+[2]Consolidado_Q1!P101</f>
        <v>126599.75029999949</v>
      </c>
      <c r="H39" s="139">
        <f>+[2]Consolidado_Q1!R101</f>
        <v>-12.99812045950366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f>+[2]Consolidado_Q1!M103</f>
        <v>130167.20863999939</v>
      </c>
      <c r="E41" s="19">
        <f>+[2]Consolidado_Q1!N103</f>
        <v>25512.56595999992</v>
      </c>
      <c r="F41" s="19">
        <f>+[2]Consolidado_Q1!O103</f>
        <v>-30014.434079999861</v>
      </c>
      <c r="G41" s="19">
        <f>+[2]Consolidado_Q1!P103</f>
        <v>125665.34051999915</v>
      </c>
      <c r="H41" s="19">
        <f>+[2]Consolidado_Q1!R103</f>
        <v>-3.9950191951809932</v>
      </c>
    </row>
    <row r="42" spans="3:8">
      <c r="C42" s="68" t="str">
        <f>+IF(Índice!$D$2=1,"Despesa corrente primária","Primary current expenditure")</f>
        <v>Despesa corrente primária</v>
      </c>
      <c r="D42" s="19">
        <f>+[2]Consolidado_Q1!M104</f>
        <v>1210924.5606700007</v>
      </c>
      <c r="E42" s="19">
        <f>+[2]Consolidado_Q1!N104</f>
        <v>548642.65847999998</v>
      </c>
      <c r="F42" s="19">
        <f>+[2]Consolidado_Q1!O104</f>
        <v>407322.13513999979</v>
      </c>
      <c r="G42" s="19">
        <f>+[2]Consolidado_Q1!P104</f>
        <v>1334404.4808700008</v>
      </c>
      <c r="H42" s="19">
        <f>+[2]Consolidado_Q1!R104</f>
        <v>6.4427825017940421</v>
      </c>
    </row>
    <row r="43" spans="3:8">
      <c r="C43" s="68" t="str">
        <f>+IF(Índice!$D$2=1,"Saldo corrente primário","Primary current balance")</f>
        <v>Saldo corrente primário</v>
      </c>
      <c r="D43" s="19">
        <f>+[2]Consolidado_Q1!M105</f>
        <v>238464.42025999934</v>
      </c>
      <c r="E43" s="19">
        <f>+[2]Consolidado_Q1!N105</f>
        <v>27734.142039999948</v>
      </c>
      <c r="F43" s="19">
        <f>+[2]Consolidado_Q1!O105</f>
        <v>-29264.95605999988</v>
      </c>
      <c r="G43" s="19">
        <f>+[2]Consolidado_Q1!P105</f>
        <v>236933.60623999918</v>
      </c>
      <c r="H43" s="19">
        <f>+[2]Consolidado_Q1!R105</f>
        <v>-5.4486114626723925</v>
      </c>
    </row>
    <row r="44" spans="3:8">
      <c r="C44" s="68" t="str">
        <f>+IF(Índice!$D$2=1,"Saldo de capital","Capital balance")</f>
        <v>Saldo de capital</v>
      </c>
      <c r="D44" s="19">
        <f>+[2]Consolidado_Q1!M106</f>
        <v>-5500.3940099999309</v>
      </c>
      <c r="E44" s="19">
        <f>+[2]Consolidado_Q1!N106</f>
        <v>1330.3728600000031</v>
      </c>
      <c r="F44" s="19">
        <f>+[2]Consolidado_Q1!O106</f>
        <v>5104.4309300000023</v>
      </c>
      <c r="G44" s="19">
        <f>+[2]Consolidado_Q1!P106</f>
        <v>934.40978000010364</v>
      </c>
      <c r="H44" s="19">
        <f>+[2]Consolidado_Q1!R106</f>
        <v>-93.608340926004672</v>
      </c>
    </row>
    <row r="45" spans="3:8">
      <c r="C45" s="68" t="str">
        <f t="array" ref="C45">+IF(Índice!$D$2=1,"Despesa primária","Primary expenditure")</f>
        <v>Despesa primária</v>
      </c>
      <c r="D45" s="19">
        <f>+[2]Consolidado_Q1!M107</f>
        <v>1353870.3723700007</v>
      </c>
      <c r="E45" s="19">
        <f>+[2]Consolidado_Q1!N107</f>
        <v>556806.79279999994</v>
      </c>
      <c r="F45" s="19">
        <f>+[2]Consolidado_Q1!O107</f>
        <v>507516.22358999983</v>
      </c>
      <c r="G45" s="19">
        <f>+[2]Consolidado_Q1!P107</f>
        <v>1541571.6464900007</v>
      </c>
      <c r="H45" s="19">
        <f>+[2]Consolidado_Q1!R107</f>
        <v>7.5910899308848201</v>
      </c>
    </row>
    <row r="46" spans="3:8">
      <c r="C46" s="221" t="str">
        <f>+IF(Índice!$D$2=1,"Saldo primário","Primary balance")</f>
        <v>Saldo primário</v>
      </c>
      <c r="D46" s="132">
        <f>+[2]Consolidado_Q1!M108</f>
        <v>232964.02624999941</v>
      </c>
      <c r="E46" s="132">
        <f>+[2]Consolidado_Q1!N108</f>
        <v>29064.514899999951</v>
      </c>
      <c r="F46" s="132">
        <f>+[2]Consolidado_Q1!O108</f>
        <v>-24160.525129999907</v>
      </c>
      <c r="G46" s="132">
        <f>+[2]Consolidado_Q1!P108</f>
        <v>237868.01601999952</v>
      </c>
      <c r="H46" s="132">
        <f>+[2]Consolidado_Q1!R108</f>
        <v>-10.308319018639889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L13" sqref="L1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(janeiro-novembro)","TABLE II - Regional Gov. budget execution (january-november)")</f>
        <v>QUADRO II - Execução orçamental do Gov. Regional (janeiro-novembro)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f>+[2]Global_Est_Q2_3!D8</f>
        <v>1401117.1141300001</v>
      </c>
      <c r="E5" s="225">
        <f>+[2]Global_Est_Q2_3!E8</f>
        <v>1449388.9809300001</v>
      </c>
      <c r="F5" s="225">
        <f>+[2]Global_Est_Q2_3!F8</f>
        <v>3.4452413943979021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f>+[2]Global_Est_Q2_3!D9</f>
        <v>1139185.2460500002</v>
      </c>
      <c r="E6" s="231">
        <f>+[2]Global_Est_Q2_3!E9</f>
        <v>1129356.7888500001</v>
      </c>
      <c r="F6" s="231">
        <f>+[2]Global_Est_Q2_3!F9</f>
        <v>-0.86276198134405124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f>+[2]Global_Est_Q2_3!D10</f>
        <v>426326.21333</v>
      </c>
      <c r="E7" s="231">
        <f>+[2]Global_Est_Q2_3!E10</f>
        <v>411937.75789000001</v>
      </c>
      <c r="F7" s="231">
        <f>+[2]Global_Est_Q2_3!F10</f>
        <v>-3.3749872726832608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f>+[2]Global_Est_Q2_3!D11</f>
        <v>712859.03272000013</v>
      </c>
      <c r="E8" s="231">
        <f>+[2]Global_Est_Q2_3!E11</f>
        <v>717419.03096</v>
      </c>
      <c r="F8" s="231">
        <f>+[2]Global_Est_Q2_3!F11</f>
        <v>0.6396774159682872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f>+[2]Global_Est_Q2_3!D12</f>
        <v>261931.86807999999</v>
      </c>
      <c r="E9" s="231">
        <f>+[2]Global_Est_Q2_3!E12</f>
        <v>320032.19208000001</v>
      </c>
      <c r="F9" s="231">
        <f>+[2]Global_Est_Q2_3!F12</f>
        <v>22.181464373115102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f>+[2]Global_Est_Q2_3!D13</f>
        <v>143678.50318</v>
      </c>
      <c r="E10" s="232">
        <f>+[2]Global_Est_Q2_3!E13</f>
        <v>137445.41769000003</v>
      </c>
      <c r="F10" s="232">
        <f>+[2]Global_Est_Q2_3!F13</f>
        <v>-4.3382171668305709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f>+[2]Global_Est_Q2_3!D15</f>
        <v>1544795.6173100001</v>
      </c>
      <c r="E12" s="232">
        <f>+[2]Global_Est_Q2_3!E15</f>
        <v>1586834.3986200001</v>
      </c>
      <c r="F12" s="232">
        <f>+[2]Global_Est_Q2_3!F15</f>
        <v>2.72131671264082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f>+[2]Global_Est_Q2_3!D17</f>
        <v>1295693.2647099998</v>
      </c>
      <c r="E14" s="232">
        <f>+[2]Global_Est_Q2_3!E17</f>
        <v>1319221.7722899998</v>
      </c>
      <c r="F14" s="232">
        <f>+[2]Global_Est_Q2_3!F17</f>
        <v>1.815901048560753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f>+[2]Global_Est_Q2_3!D18</f>
        <v>433817.66858999996</v>
      </c>
      <c r="E15" s="231">
        <f>+[2]Global_Est_Q2_3!E18</f>
        <v>445575.98682000005</v>
      </c>
      <c r="F15" s="231">
        <f>+[2]Global_Est_Q2_3!F18</f>
        <v>2.7104286158323498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f>+[2]Global_Est_Q2_3!D19</f>
        <v>157108.30921999991</v>
      </c>
      <c r="E16" s="231">
        <f>+[2]Global_Est_Q2_3!E19</f>
        <v>143095.45462000003</v>
      </c>
      <c r="F16" s="231">
        <f>+[2]Global_Est_Q2_3!F19</f>
        <v>-8.9192320059772072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f>+[2]Global_Est_Q2_3!D20</f>
        <v>118160.18909000001</v>
      </c>
      <c r="E17" s="231">
        <f>+[2]Global_Est_Q2_3!E20</f>
        <v>108297.21162</v>
      </c>
      <c r="F17" s="231">
        <f>+[2]Global_Est_Q2_3!F20</f>
        <v>-8.3471239729377871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f>+[2]Global_Est_Q2_3!D21</f>
        <v>557297.72777000011</v>
      </c>
      <c r="E18" s="231">
        <f>+[2]Global_Est_Q2_3!E21</f>
        <v>616094.00655999989</v>
      </c>
      <c r="F18" s="231">
        <f>+[2]Global_Est_Q2_3!F21</f>
        <v>10.550245561787985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f>+[2]Global_Est_Q2_3!D22</f>
        <v>483373.3756400001</v>
      </c>
      <c r="E19" s="231">
        <f>+[2]Global_Est_Q2_3!E22</f>
        <v>533555.33739999984</v>
      </c>
      <c r="F19" s="231">
        <f>+[2]Global_Est_Q2_3!F22</f>
        <v>10.381614770064118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f>+[2]Global_Est_Q2_3!D23</f>
        <v>73924.35212999997</v>
      </c>
      <c r="E20" s="231">
        <f>+[2]Global_Est_Q2_3!E23</f>
        <v>82538.669160000049</v>
      </c>
      <c r="F20" s="231">
        <f>+[2]Global_Est_Q2_3!F23</f>
        <v>11.652881333138154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f>+[2]Global_Est_Q2_3!D24</f>
        <v>28402.098770000001</v>
      </c>
      <c r="E21" s="231">
        <f>+[2]Global_Est_Q2_3!E24</f>
        <v>5367.6739299999999</v>
      </c>
      <c r="F21" s="231">
        <f>+[2]Global_Est_Q2_3!F24</f>
        <v>-81.101136315779385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f>+[2]Global_Est_Q2_3!D25</f>
        <v>907.2712700000003</v>
      </c>
      <c r="E22" s="231">
        <f>+[2]Global_Est_Q2_3!E25</f>
        <v>791.43873999999994</v>
      </c>
      <c r="F22" s="231">
        <f>+[2]Global_Est_Q2_3!F25</f>
        <v>-12.767133031777844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f>+[2]Global_Est_Q2_3!D26</f>
        <v>132340.94716000001</v>
      </c>
      <c r="E23" s="232">
        <f>+[2]Global_Est_Q2_3!E26</f>
        <v>142945.81169999993</v>
      </c>
      <c r="F23" s="232">
        <f>+[2]Global_Est_Q2_3!F26</f>
        <v>8.0132904951773156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f>+[2]Global_Est_Q2_3!D27</f>
        <v>92478.822480000017</v>
      </c>
      <c r="E24" s="231">
        <f>+[2]Global_Est_Q2_3!E27</f>
        <v>65671.841389999943</v>
      </c>
      <c r="F24" s="231">
        <f>+[2]Global_Est_Q2_3!F27</f>
        <v>-28.987156595551923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f>+[2]Global_Est_Q2_3!D28</f>
        <v>39862.124680000001</v>
      </c>
      <c r="E25" s="231">
        <f>+[2]Global_Est_Q2_3!E28</f>
        <v>77273.97030999999</v>
      </c>
      <c r="F25" s="231">
        <f>+[2]Global_Est_Q2_3!F28</f>
        <v>93.853114780835085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f>+[2]Global_Est_Q2_3!D29</f>
        <v>29682.541940000003</v>
      </c>
      <c r="E26" s="231">
        <f>+[2]Global_Est_Q2_3!E29</f>
        <v>61159.190409999988</v>
      </c>
      <c r="F26" s="231">
        <f>+[2]Global_Est_Q2_3!F29</f>
        <v>106.04431565742102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f>+[2]Global_Est_Q2_3!D30</f>
        <v>10179.58274</v>
      </c>
      <c r="E27" s="231">
        <f>+[2]Global_Est_Q2_3!E30</f>
        <v>16114.7799</v>
      </c>
      <c r="F27" s="231">
        <f>+[2]Global_Est_Q2_3!F30</f>
        <v>58.304915943931903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f>+[2]Global_Est_Q2_3!D33</f>
        <v>1428034.2118699998</v>
      </c>
      <c r="E29" s="235">
        <f>+[2]Global_Est_Q2_3!E33</f>
        <v>1462167.5839899997</v>
      </c>
      <c r="F29" s="235">
        <f>+[2]Global_Est_Q2_3!F33</f>
        <v>2.3902349002761225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f>+[2]Global_Est_Q2_3!D35</f>
        <v>116761.40544000032</v>
      </c>
      <c r="E31" s="139">
        <f>+[2]Global_Est_Q2_3!E35</f>
        <v>124666.81463000042</v>
      </c>
      <c r="F31" s="139">
        <f>+[2]Global_Est_Q2_3!F35</f>
        <v>6.7705670038910259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f>+[2]Global_Est_Q2_3!D37</f>
        <v>105423.84942000033</v>
      </c>
      <c r="E33" s="19">
        <f>+[2]Global_Est_Q2_3!E37</f>
        <v>130167.20864000032</v>
      </c>
      <c r="F33" s="19">
        <f>+[2]Global_Est_Q2_3!F37</f>
        <v>23.470362120267851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f>+[2]Global_Est_Q2_3!D38</f>
        <v>11337.556019999989</v>
      </c>
      <c r="E34" s="19">
        <f>+[2]Global_Est_Q2_3!E38</f>
        <v>-5500.3940099999018</v>
      </c>
      <c r="F34" s="19">
        <f>+[2]Global_Est_Q2_3!F38</f>
        <v>-148.51481218965486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f>+[2]Global_Est_Q2_3!D39</f>
        <v>234921.59453000035</v>
      </c>
      <c r="E35" s="19">
        <f>+[2]Global_Est_Q2_3!E39</f>
        <v>232964.0262500004</v>
      </c>
      <c r="F35" s="19">
        <f>+[2]Global_Est_Q2_3!F39</f>
        <v>-0.83328579644471601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f>+[2]Global_Est_Q2_3!D40</f>
        <v>14258.04883</v>
      </c>
      <c r="E36" s="106">
        <f>+[2]Global_Est_Q2_3!E40</f>
        <v>52583.772969999998</v>
      </c>
      <c r="F36" s="106">
        <f>+[2]Global_Est_Q2_3!F40</f>
        <v>268.80062340198896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4"/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L13" sqref="L13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(novembro)","TABLE III - Regional Gov. budget execution (november)")</f>
        <v>QUADRO III - Execução orçamental do Gov. Regional (novembro)</v>
      </c>
      <c r="D2" s="224"/>
      <c r="E2" s="225"/>
      <c r="F2" s="49" t="str">
        <f>+IF(Índice!$D$2=1,"€ Milhares","€ Thousands")</f>
        <v>€ Milhares</v>
      </c>
      <c r="G2"/>
      <c r="H2" s="290" t="str">
        <f>+IF(Índice!$D$2=1,"índice","Index")</f>
        <v>índice</v>
      </c>
      <c r="K2" s="18"/>
      <c r="Z2" s="7"/>
      <c r="AC2" s="18"/>
    </row>
    <row r="3" spans="2:29" ht="35.1" customHeight="1">
      <c r="C3" s="291"/>
      <c r="D3" s="292">
        <f>+[2]Global_Est_Q2_3!D54</f>
        <v>2024</v>
      </c>
      <c r="E3" s="292">
        <f>+[2]Global_Est_Q2_3!E54</f>
        <v>2025</v>
      </c>
      <c r="F3" s="292" t="str">
        <f>+[2]Global_Est_Q2_3!F54</f>
        <v>VH (%)</v>
      </c>
      <c r="G3"/>
      <c r="H3" s="23"/>
      <c r="Z3" s="7"/>
      <c r="AC3" s="18"/>
    </row>
    <row r="4" spans="2:29" ht="6.75" customHeight="1">
      <c r="C4" s="101"/>
      <c r="D4" s="293"/>
      <c r="E4" s="294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f>+[2]Global_Est_Q2_3!D56</f>
        <v>107425.92098000027</v>
      </c>
      <c r="E5" s="225">
        <f>+[2]Global_Est_Q2_3!E56</f>
        <v>95513.641479999947</v>
      </c>
      <c r="F5" s="225">
        <f>+[2]Global_Est_Q2_3!F56</f>
        <v>-11.088831625858775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f>+[2]Global_Est_Q2_3!D57</f>
        <v>94505.06516000026</v>
      </c>
      <c r="E6" s="231">
        <f>+[2]Global_Est_Q2_3!E57</f>
        <v>77653.010839999915</v>
      </c>
      <c r="F6" s="231">
        <f>+[2]Global_Est_Q2_3!F57</f>
        <v>-17.831905931675983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f>+[2]Global_Est_Q2_3!D58</f>
        <v>24682.636949999989</v>
      </c>
      <c r="E7" s="231">
        <f>+[2]Global_Est_Q2_3!E58</f>
        <v>10488.568689999938</v>
      </c>
      <c r="F7" s="231">
        <f>+[2]Global_Est_Q2_3!F58</f>
        <v>-57.506287876587912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f>+[2]Global_Est_Q2_3!D59</f>
        <v>69822.428210000275</v>
      </c>
      <c r="E8" s="231">
        <f>+[2]Global_Est_Q2_3!E59</f>
        <v>67164.442149999973</v>
      </c>
      <c r="F8" s="231">
        <f>+[2]Global_Est_Q2_3!F59</f>
        <v>-3.8067797527838065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f>+[2]Global_Est_Q2_3!D60</f>
        <v>12920.855820000012</v>
      </c>
      <c r="E9" s="231">
        <f>+[2]Global_Est_Q2_3!E60</f>
        <v>17860.630640000025</v>
      </c>
      <c r="F9" s="231">
        <f>+[2]Global_Est_Q2_3!F60</f>
        <v>38.231018818070893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f>+[2]Global_Est_Q2_3!D61</f>
        <v>16673.724740000016</v>
      </c>
      <c r="E10" s="232">
        <f>+[2]Global_Est_Q2_3!E61</f>
        <v>2486.8057099999937</v>
      </c>
      <c r="F10" s="232">
        <f>+[2]Global_Est_Q2_3!F61</f>
        <v>-85.085481805788817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f>+[2]Global_Est_Q2_3!D63</f>
        <v>124099.64572000029</v>
      </c>
      <c r="E12" s="232">
        <f>+[2]Global_Est_Q2_3!E63</f>
        <v>98000.447189999948</v>
      </c>
      <c r="F12" s="232">
        <f>+[2]Global_Est_Q2_3!F63</f>
        <v>-21.030840481919377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5"/>
      <c r="M13" s="296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f>+[2]Global_Est_Q2_3!D65</f>
        <v>187897.87553000063</v>
      </c>
      <c r="E14" s="232">
        <f>+[2]Global_Est_Q2_3!E65</f>
        <v>159699.60641000012</v>
      </c>
      <c r="F14" s="232">
        <f>+[2]Global_Est_Q2_3!F65</f>
        <v>-15.007231476386885</v>
      </c>
      <c r="G14"/>
      <c r="H14" s="23"/>
      <c r="K14" s="23"/>
      <c r="M14" s="297">
        <v>0</v>
      </c>
      <c r="N14" s="298"/>
      <c r="O14" s="298"/>
      <c r="P14" s="298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f>+[2]Global_Est_Q2_3!D66</f>
        <v>58331.666890000823</v>
      </c>
      <c r="E15" s="231">
        <f>+[2]Global_Est_Q2_3!E66</f>
        <v>61086.092849999128</v>
      </c>
      <c r="F15" s="231">
        <f>+[2]Global_Est_Q2_3!F66</f>
        <v>4.7220079707176454</v>
      </c>
      <c r="G15"/>
      <c r="H15" s="23"/>
      <c r="N15" s="298"/>
      <c r="O15" s="298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f>+[2]Global_Est_Q2_3!D67</f>
        <v>15434.443829999804</v>
      </c>
      <c r="E16" s="231">
        <f>+[2]Global_Est_Q2_3!E67</f>
        <v>11716.001499999926</v>
      </c>
      <c r="F16" s="231">
        <f>+[2]Global_Est_Q2_3!F67</f>
        <v>-24.091845297155256</v>
      </c>
      <c r="G16"/>
      <c r="H16" s="23"/>
      <c r="I16" s="24"/>
      <c r="N16" s="298"/>
      <c r="O16" s="298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f>+[2]Global_Est_Q2_3!D68</f>
        <v>24322.523270000027</v>
      </c>
      <c r="E17" s="231">
        <f>+[2]Global_Est_Q2_3!E68</f>
        <v>19656.887729999988</v>
      </c>
      <c r="F17" s="231">
        <f>+[2]Global_Est_Q2_3!F68</f>
        <v>-19.182366435454266</v>
      </c>
      <c r="G17"/>
      <c r="H17" s="23"/>
      <c r="I17" s="24"/>
      <c r="N17" s="298"/>
      <c r="O17" s="298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f>+[2]Global_Est_Q2_3!D69</f>
        <v>85655.313139999984</v>
      </c>
      <c r="E18" s="231">
        <f>+[2]Global_Est_Q2_3!E69</f>
        <v>63844.836360001085</v>
      </c>
      <c r="F18" s="231">
        <f>+[2]Global_Est_Q2_3!F69</f>
        <v>-25.463075179411931</v>
      </c>
      <c r="G18"/>
      <c r="H18" s="23"/>
      <c r="I18" s="24"/>
      <c r="N18" s="298"/>
      <c r="O18" s="298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f>+[2]Global_Est_Q2_3!D70</f>
        <v>4077.2053800000026</v>
      </c>
      <c r="E19" s="231">
        <f>+[2]Global_Est_Q2_3!E70</f>
        <v>3336.2865399999996</v>
      </c>
      <c r="F19" s="231">
        <f>+[2]Global_Est_Q2_3!F70</f>
        <v>-18.172222661003225</v>
      </c>
      <c r="G19"/>
      <c r="H19" s="23"/>
      <c r="I19" s="24"/>
      <c r="N19" s="298"/>
      <c r="O19" s="298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f>+[2]Global_Est_Q2_3!D71</f>
        <v>76.723019999999792</v>
      </c>
      <c r="E20" s="231">
        <f>+[2]Global_Est_Q2_3!E71</f>
        <v>59.501429999999935</v>
      </c>
      <c r="F20" s="231">
        <f>+[2]Global_Est_Q2_3!F71</f>
        <v>-22.446444365719575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f>+[2]Global_Est_Q2_3!D72</f>
        <v>17598.831349999975</v>
      </c>
      <c r="E21" s="232">
        <f>+[2]Global_Est_Q2_3!E72</f>
        <v>24911.233670000023</v>
      </c>
      <c r="F21" s="232">
        <f>+[2]Global_Est_Q2_3!F72</f>
        <v>41.550499431316254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f>+[2]Global_Est_Q2_3!D73</f>
        <v>8309.734439999982</v>
      </c>
      <c r="E22" s="231">
        <f>+[2]Global_Est_Q2_3!E73</f>
        <v>11880.848040000013</v>
      </c>
      <c r="F22" s="231">
        <f>+[2]Global_Est_Q2_3!F73</f>
        <v>42.975062870962688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f>+[2]Global_Est_Q2_3!D74</f>
        <v>9289.0969099999929</v>
      </c>
      <c r="E23" s="231">
        <f>+[2]Global_Est_Q2_3!E74</f>
        <v>13030.38563000001</v>
      </c>
      <c r="F23" s="231">
        <f>+[2]Global_Est_Q2_3!F74</f>
        <v>40.276129706133304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299">
        <f>+[2]Global_Est_Q2_3!D79</f>
        <v>205496.70688000059</v>
      </c>
      <c r="E25" s="299">
        <f>+[2]Global_Est_Q2_3!E79</f>
        <v>184610.84008000014</v>
      </c>
      <c r="F25" s="299">
        <f>+[2]Global_Est_Q2_3!F79</f>
        <v>-10.16360170296876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5" t="str">
        <f>+IF(Índice!$D$2=1,"Saldo global","Overall balance")</f>
        <v>Saldo global</v>
      </c>
      <c r="D27" s="286">
        <f>+[2]Global_Est_Q2_3!D81</f>
        <v>-81397.061160000303</v>
      </c>
      <c r="E27" s="286">
        <f>+[2]Global_Est_Q2_3!E81</f>
        <v>-86610.392890000192</v>
      </c>
      <c r="F27" s="286">
        <f>+[2]Global_Est_Q2_3!F81</f>
        <v>-6.404815672340014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f>+[2]Global_Est_Q2_3!D83</f>
        <v>-80471.954550000359</v>
      </c>
      <c r="E29" s="19">
        <f>+[2]Global_Est_Q2_3!E83</f>
        <v>-64185.964930000177</v>
      </c>
      <c r="F29" s="19">
        <f>+[2]Global_Est_Q2_3!F83</f>
        <v>20.238093769526955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f>+[2]Global_Est_Q2_3!D84</f>
        <v>-925.10660999995889</v>
      </c>
      <c r="E30" s="19">
        <f>+[2]Global_Est_Q2_3!E84</f>
        <v>-22424.42796000003</v>
      </c>
      <c r="F30" s="19">
        <f>+[2]Global_Est_Q2_3!F84</f>
        <v>-2323.9831082820851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f>+[2]Global_Est_Q2_3!D85</f>
        <v>-57074.537890000276</v>
      </c>
      <c r="E31" s="19">
        <f>+[2]Global_Est_Q2_3!E85</f>
        <v>-66953.505160000204</v>
      </c>
      <c r="F31" s="19">
        <f>+[2]Global_Est_Q2_3!F85</f>
        <v>-17.308887001485076</v>
      </c>
      <c r="H31" s="26"/>
      <c r="J31" s="23"/>
      <c r="K31" s="18"/>
      <c r="Z31" s="7"/>
      <c r="AC31" s="18"/>
    </row>
    <row r="32" spans="3:29" ht="12.75">
      <c r="C32" s="300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1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4"/>
      <c r="E33" s="324"/>
      <c r="F33" s="324"/>
      <c r="G33" s="302"/>
      <c r="H33" s="302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L13" sqref="L13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(janeiro-novembro)","TABLE IV - Regional Gov. tax revenue budget execution (january-november)")</f>
        <v>QUADRO IV - Execução orçamental da receita fiscal do Gov. Reg. (janeiro-novembro)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f>+[2]R_Est_Q4_5!E167</f>
        <v>1139185.2460500002</v>
      </c>
      <c r="E5" s="33">
        <f>+[2]R_Est_Q4_5!F167</f>
        <v>1129356.7888500001</v>
      </c>
      <c r="F5" s="270">
        <f>+[2]R_Est_Q4_5!H167</f>
        <v>0.93198124219021172</v>
      </c>
      <c r="G5" s="270">
        <f>+[2]R_Est_Q4_5!G167</f>
        <v>-8.6276198134405124E-3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f>+[2]R_Est_Q4_5!E169</f>
        <v>426326.21333</v>
      </c>
      <c r="E7" s="70">
        <f>+[2]R_Est_Q4_5!F169</f>
        <v>411937.75789000001</v>
      </c>
      <c r="F7" s="271">
        <f>+[2]R_Est_Q4_5!H169</f>
        <v>0.98080277029409801</v>
      </c>
      <c r="G7" s="271">
        <f>+[2]R_Est_Q4_5!G169</f>
        <v>-3.3749872726832608E-2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f>+[2]R_Est_Q4_5!E170</f>
        <v>219834.00641</v>
      </c>
      <c r="E8" s="70">
        <f>+[2]R_Est_Q4_5!F170</f>
        <v>228891.66081</v>
      </c>
      <c r="F8" s="271">
        <f>+[2]R_Est_Q4_5!H170</f>
        <v>0.98010601677917852</v>
      </c>
      <c r="G8" s="271">
        <f>+[2]R_Est_Q4_5!G170</f>
        <v>4.1202244129177501E-2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f>+[2]R_Est_Q4_5!E171</f>
        <v>206492.20692</v>
      </c>
      <c r="E9" s="70">
        <f>+[2]R_Est_Q4_5!F171</f>
        <v>183046.09708000001</v>
      </c>
      <c r="F9" s="271">
        <f>+[2]R_Est_Q4_5!H171</f>
        <v>0.98167542720054879</v>
      </c>
      <c r="G9" s="271">
        <f>+[2]R_Est_Q4_5!G171</f>
        <v>-0.11354476853978113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f>+[2]R_Est_Q4_5!E172</f>
        <v>0</v>
      </c>
      <c r="E10" s="70">
        <f>+[2]R_Est_Q4_5!F172</f>
        <v>0</v>
      </c>
      <c r="F10" s="271">
        <f>+[2]R_Est_Q4_5!H172</f>
        <v>0</v>
      </c>
      <c r="G10" s="271">
        <f>+[2]R_Est_Q4_5!G172</f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f>+[2]R_Est_Q4_5!E173</f>
        <v>712859.03272000013</v>
      </c>
      <c r="E11" s="70">
        <f>+[2]R_Est_Q4_5!F173</f>
        <v>717419.03096</v>
      </c>
      <c r="F11" s="271">
        <f>+[2]R_Est_Q4_5!H173</f>
        <v>0.90608380660853127</v>
      </c>
      <c r="G11" s="271">
        <f>+[2]R_Est_Q4_5!G173</f>
        <v>6.396774159682872E-3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f>+[2]R_Est_Q4_5!E174</f>
        <v>34545.989719999998</v>
      </c>
      <c r="E12" s="70">
        <f>+[2]R_Est_Q4_5!F174</f>
        <v>48170.856469999999</v>
      </c>
      <c r="F12" s="271">
        <f>+[2]R_Est_Q4_5!H174</f>
        <v>0.94321482605524609</v>
      </c>
      <c r="G12" s="271">
        <f>+[2]R_Est_Q4_5!G174</f>
        <v>0.3943979275288223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f>+[2]R_Est_Q4_5!E175</f>
        <v>570101.5167700001</v>
      </c>
      <c r="E13" s="70">
        <f>+[2]R_Est_Q4_5!F175</f>
        <v>550810.00656999997</v>
      </c>
      <c r="F13" s="271">
        <f>+[2]R_Est_Q4_5!H175</f>
        <v>0.92264974485747353</v>
      </c>
      <c r="G13" s="271">
        <f>+[2]R_Est_Q4_5!G175</f>
        <v>-3.3838728073026791E-2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f>+[2]R_Est_Q4_5!E176</f>
        <v>6020.0795199999993</v>
      </c>
      <c r="E14" s="70">
        <f>+[2]R_Est_Q4_5!F176</f>
        <v>6016.7012599999998</v>
      </c>
      <c r="F14" s="271">
        <f>+[2]R_Est_Q4_5!H176</f>
        <v>0.82550361513623749</v>
      </c>
      <c r="G14" s="271">
        <f>+[2]R_Est_Q4_5!G176</f>
        <v>-5.6116534487227199E-4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f>+[2]R_Est_Q4_5!E177</f>
        <v>35087.512189999994</v>
      </c>
      <c r="E15" s="70">
        <f>+[2]R_Est_Q4_5!F177</f>
        <v>40381.524679999995</v>
      </c>
      <c r="F15" s="271">
        <f>+[2]R_Est_Q4_5!H177</f>
        <v>0.79000870170141435</v>
      </c>
      <c r="G15" s="271">
        <f>+[2]R_Est_Q4_5!G177</f>
        <v>0.1508802465484802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f>+[2]R_Est_Q4_5!E178</f>
        <v>10122.663349999999</v>
      </c>
      <c r="E16" s="70">
        <f>+[2]R_Est_Q4_5!F178</f>
        <v>9385.6253100000013</v>
      </c>
      <c r="F16" s="271">
        <f>+[2]R_Est_Q4_5!H178</f>
        <v>0.73531580199237345</v>
      </c>
      <c r="G16" s="271">
        <f>+[2]R_Est_Q4_5!G178</f>
        <v>-7.2810683761403316E-2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f>+[2]R_Est_Q4_5!E179</f>
        <v>56981.27117</v>
      </c>
      <c r="E17" s="70">
        <f>+[2]R_Est_Q4_5!F179</f>
        <v>62654.31667</v>
      </c>
      <c r="F17" s="271">
        <f>+[2]R_Est_Q4_5!H179</f>
        <v>0.86355347481761435</v>
      </c>
      <c r="G17" s="271">
        <f>+[2]R_Est_Q4_5!G179</f>
        <v>9.9559827001311163E-2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f>+[2]R_Est_Q4_5!E180</f>
        <v>32850.388930000001</v>
      </c>
      <c r="E18" s="70">
        <f>+[2]R_Est_Q4_5!F180</f>
        <v>36183.380599999997</v>
      </c>
      <c r="F18" s="271">
        <f>+[2]R_Est_Q4_5!H180</f>
        <v>0.87577162842482326</v>
      </c>
      <c r="G18" s="271">
        <f>+[2]R_Est_Q4_5!G180</f>
        <v>0.10145973239775574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f>+[2]R_Est_Q4_5!E181</f>
        <v>7352.0197199999993</v>
      </c>
      <c r="E19" s="70">
        <f>+[2]R_Est_Q4_5!F181</f>
        <v>7218.9980399999995</v>
      </c>
      <c r="F19" s="271">
        <f>+[2]R_Est_Q4_5!H181</f>
        <v>0.78842729953474133</v>
      </c>
      <c r="G19" s="271">
        <f>+[2]R_Est_Q4_5!G181</f>
        <v>-1.809321588707602E-2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f>+[2]R_Est_Q4_5!E183</f>
        <v>405610.37125999999</v>
      </c>
      <c r="E21" s="33">
        <f>+[2]R_Est_Q4_5!F183</f>
        <v>457477.60977000004</v>
      </c>
      <c r="F21" s="270">
        <f>+[2]R_Est_Q4_5!H183</f>
        <v>0.63821660580149253</v>
      </c>
      <c r="G21" s="270">
        <f>+[2]R_Est_Q4_5!G183</f>
        <v>0.12787453720396291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79" t="str">
        <f>+IF(Índice!$D$2=1,"Receita efetiva","Effective revenue")</f>
        <v>Receita efetiva</v>
      </c>
      <c r="D23" s="139">
        <f>+[2]R_Est_Q4_5!E185</f>
        <v>1544795.6173100001</v>
      </c>
      <c r="E23" s="139">
        <f>+[2]R_Est_Q4_5!F185</f>
        <v>1586834.3986200001</v>
      </c>
      <c r="F23" s="274">
        <f>+[2]R_Est_Q4_5!H185</f>
        <v>0.82279647034022196</v>
      </c>
      <c r="G23" s="274">
        <f>+[2]R_Est_Q4_5!G185</f>
        <v>2.72131671264082E-2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L13" sqref="L1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(janeiro-novembro)","TABLE V - Regional Gov. non-tax revenue budget execution (january-november)")</f>
        <v>QUADRO V - Execução orçamental da receita não fiscal do Gov. Reg. (janeiro-novembro)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f>+[2]R_Est_Q4_5!E199</f>
        <v>1139185.2460500002</v>
      </c>
      <c r="E5" s="41">
        <f>+[2]R_Est_Q4_5!F199</f>
        <v>1129356.7888500001</v>
      </c>
      <c r="F5" s="275">
        <f>+[2]R_Est_Q4_5!H199</f>
        <v>0.93198124219021172</v>
      </c>
      <c r="G5" s="42">
        <f>+[2]R_Est_Q4_5!G199</f>
        <v>-8.6276198134405124E-3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6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f>+[2]R_Est_Q4_5!E201</f>
        <v>405610.37125999999</v>
      </c>
      <c r="E7" s="41">
        <f>+[2]R_Est_Q4_5!F201</f>
        <v>457477.60977000004</v>
      </c>
      <c r="F7" s="275">
        <f>+[2]R_Est_Q4_5!H201</f>
        <v>0.63821660580149253</v>
      </c>
      <c r="G7" s="42">
        <f>+[2]R_Est_Q4_5!G201</f>
        <v>0.12787453720396291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f>+[2]R_Est_Q4_5!E202</f>
        <v>261931.86807999999</v>
      </c>
      <c r="E8" s="41">
        <f>+[2]R_Est_Q4_5!F202</f>
        <v>320032.19208000001</v>
      </c>
      <c r="F8" s="275">
        <f>+[2]R_Est_Q4_5!H202</f>
        <v>0.75958320298693527</v>
      </c>
      <c r="G8" s="42">
        <f>+[2]R_Est_Q4_5!G202</f>
        <v>0.22181464373115101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f>+[2]R_Est_Q4_5!E203</f>
        <v>0</v>
      </c>
      <c r="E9" s="71">
        <f>+[2]R_Est_Q4_5!F203</f>
        <v>0</v>
      </c>
      <c r="F9" s="277">
        <f>+[2]R_Est_Q4_5!H203</f>
        <v>0</v>
      </c>
      <c r="G9" s="43">
        <f>+[2]R_Est_Q4_5!G203</f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f>+[2]R_Est_Q4_5!E204</f>
        <v>29082.185029999997</v>
      </c>
      <c r="E10" s="71">
        <f>+[2]R_Est_Q4_5!F204</f>
        <v>24075.848770000001</v>
      </c>
      <c r="F10" s="277">
        <f>+[2]R_Est_Q4_5!H204</f>
        <v>0.44945386270927729</v>
      </c>
      <c r="G10" s="43">
        <f>+[2]R_Est_Q4_5!G204</f>
        <v>-0.17214443326165707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f>+[2]R_Est_Q4_5!E205</f>
        <v>4852.3511099999996</v>
      </c>
      <c r="E11" s="71">
        <f>+[2]R_Est_Q4_5!F205</f>
        <v>5045.5168300000005</v>
      </c>
      <c r="F11" s="277">
        <f>+[2]R_Est_Q4_5!H205</f>
        <v>0.99023153343578119</v>
      </c>
      <c r="G11" s="43">
        <f>+[2]R_Est_Q4_5!G205</f>
        <v>3.9808685649707742E-2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f>+[2]R_Est_Q4_5!E206</f>
        <v>215662.24630999999</v>
      </c>
      <c r="E12" s="71">
        <f>+[2]R_Est_Q4_5!F206</f>
        <v>271953.63123</v>
      </c>
      <c r="F12" s="277">
        <f>+[2]R_Est_Q4_5!H206</f>
        <v>0.78939863781947561</v>
      </c>
      <c r="G12" s="43">
        <f>+[2]R_Est_Q4_5!G206</f>
        <v>0.26101640821771332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f>+[2]R_Est_Q4_5!E207</f>
        <v>10431.80464</v>
      </c>
      <c r="E13" s="47">
        <f>+[2]R_Est_Q4_5!F207</f>
        <v>10510.051910000002</v>
      </c>
      <c r="F13" s="277">
        <f>+[2]R_Est_Q4_5!H207</f>
        <v>0.61497892317897962</v>
      </c>
      <c r="G13" s="43">
        <f>+[2]R_Est_Q4_5!G207</f>
        <v>7.5008373623071112E-3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f>+[2]R_Est_Q4_5!E208</f>
        <v>1903.2809899999997</v>
      </c>
      <c r="E14" s="71">
        <f>+[2]R_Est_Q4_5!F208</f>
        <v>8447.1433399999987</v>
      </c>
      <c r="F14" s="277">
        <f>+[2]R_Est_Q4_5!H208</f>
        <v>7.921058329957539</v>
      </c>
      <c r="G14" s="43">
        <f>+[2]R_Est_Q4_5!G208</f>
        <v>3.4382008670196402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f>+[2]R_Est_Q4_5!E209</f>
        <v>0</v>
      </c>
      <c r="E15" s="71">
        <f>+[2]R_Est_Q4_5!F209</f>
        <v>0</v>
      </c>
      <c r="F15" s="277">
        <f>+[2]R_Est_Q4_5!H209</f>
        <v>0</v>
      </c>
      <c r="G15" s="43">
        <f>+[2]R_Est_Q4_5!G209</f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8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f>+[2]R_Est_Q4_5!E211</f>
        <v>143678.50318</v>
      </c>
      <c r="E17" s="41">
        <f>+[2]R_Est_Q4_5!F211</f>
        <v>137445.41769000003</v>
      </c>
      <c r="F17" s="275">
        <f>+[2]R_Est_Q4_5!H211</f>
        <v>0.4651595921515293</v>
      </c>
      <c r="G17" s="42">
        <f>+[2]R_Est_Q4_5!G211</f>
        <v>-4.3382171668305713E-2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f>+[2]R_Est_Q4_5!E212</f>
        <v>1561.5444399999997</v>
      </c>
      <c r="E18" s="71">
        <f>+[2]R_Est_Q4_5!F212</f>
        <v>5958.7262199999996</v>
      </c>
      <c r="F18" s="277">
        <f>+[2]R_Est_Q4_5!H212</f>
        <v>1.2259860536907392</v>
      </c>
      <c r="G18" s="43">
        <f>+[2]R_Est_Q4_5!G212</f>
        <v>2.8159184377743363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f>+[2]R_Est_Q4_5!E213</f>
        <v>135231.11194</v>
      </c>
      <c r="E19" s="44">
        <f>+[2]R_Est_Q4_5!F213</f>
        <v>128228.80903</v>
      </c>
      <c r="F19" s="277">
        <f>+[2]R_Est_Q4_5!H213</f>
        <v>0.45638266780409265</v>
      </c>
      <c r="G19" s="43">
        <f>+[2]R_Est_Q4_5!G213</f>
        <v>-5.1780265721003693E-2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f>+[2]R_Est_Q4_5!E214</f>
        <v>20.318390000000001</v>
      </c>
      <c r="E20" s="71">
        <f>+[2]R_Est_Q4_5!F214</f>
        <v>14.765610000000001</v>
      </c>
      <c r="F20" s="277">
        <f>+[2]R_Est_Q4_5!H214</f>
        <v>0.65997452286237879</v>
      </c>
      <c r="G20" s="43">
        <f>+[2]R_Est_Q4_5!G214</f>
        <v>-0.27328838554629575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f>+[2]R_Est_Q4_5!E216</f>
        <v>6865.5284099999999</v>
      </c>
      <c r="E21" s="47">
        <f>+[2]R_Est_Q4_5!F216</f>
        <v>3243.1168299999995</v>
      </c>
      <c r="F21" s="277">
        <f>+[2]R_Est_Q4_5!H216</f>
        <v>0.33678414710384369</v>
      </c>
      <c r="G21" s="43">
        <f>+[2]R_Est_Q4_5!G216</f>
        <v>-0.52762312871996409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5" t="str">
        <f>+IF(Índice!$D$2=1,"Receita efetiva","Effective revenue")</f>
        <v>Receita efetiva</v>
      </c>
      <c r="D23" s="286">
        <f>+[2]R_Est_Q4_5!E218</f>
        <v>1544795.6173100001</v>
      </c>
      <c r="E23" s="286">
        <f>+[2]R_Est_Q4_5!F218</f>
        <v>1586834.3986200001</v>
      </c>
      <c r="F23" s="287">
        <f>+[2]R_Est_Q4_5!H218</f>
        <v>0.82279647034022196</v>
      </c>
      <c r="G23" s="287">
        <f>+[2]R_Est_Q4_5!G218</f>
        <v>2.72131671264082E-2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L13" sqref="L1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(janeiro-novembro)","TABLE VI - Regional Gov. expenditure budget execution (january-november)")</f>
        <v>QUADRO VI - Execução orçamental das despesas do Governo Regional (janeiro-novembro)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6">
        <v>2024</v>
      </c>
      <c r="E3" s="328">
        <v>2025</v>
      </c>
      <c r="F3" s="153">
        <v>2024</v>
      </c>
      <c r="G3" s="153">
        <v>2025</v>
      </c>
      <c r="H3" s="329" t="str">
        <f>+IF(Índice!$D$2=1,"VH (%)","yoy change (%)")</f>
        <v>VH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Grau de Execução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f>+'[2]D_Est ECO_Q6'!F8</f>
        <v>1295693.2647099998</v>
      </c>
      <c r="E5" s="253">
        <f>+'[2]D_Est ECO_Q6'!H8</f>
        <v>1319221.7722899998</v>
      </c>
      <c r="F5" s="253">
        <f>+'[2]D_Est ECO_Q6'!I8</f>
        <v>80.766543894191202</v>
      </c>
      <c r="G5" s="253">
        <f>+'[2]D_Est ECO_Q6'!J8</f>
        <v>78.629351117083772</v>
      </c>
      <c r="H5" s="253">
        <f>+'[2]D_Est ECO_Q6'!L8</f>
        <v>1.8159010485607556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f>+'[2]D_Est ECO_Q6'!F9</f>
        <v>433817.66858999996</v>
      </c>
      <c r="E6" s="74">
        <f>+'[2]D_Est ECO_Q6'!H9</f>
        <v>445575.98682000005</v>
      </c>
      <c r="F6" s="74">
        <f>+'[2]D_Est ECO_Q6'!I9</f>
        <v>88.942524165579115</v>
      </c>
      <c r="G6" s="74">
        <f>+'[2]D_Est ECO_Q6'!J9</f>
        <v>88.373712925973251</v>
      </c>
      <c r="H6" s="254">
        <f>+'[2]D_Est ECO_Q6'!L9</f>
        <v>2.7104286158323463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f>+'[2]D_Est ECO_Q6'!F10</f>
        <v>348921.57293000031</v>
      </c>
      <c r="E7" s="75">
        <f>+'[2]D_Est ECO_Q6'!H10</f>
        <v>358273.86333000014</v>
      </c>
      <c r="F7" s="75">
        <f>+'[2]D_Est ECO_Q6'!I10</f>
        <v>90.971649865923226</v>
      </c>
      <c r="G7" s="75">
        <f>+'[2]D_Est ECO_Q6'!J10</f>
        <v>90.992296453834797</v>
      </c>
      <c r="H7" s="254">
        <f>+'[2]D_Est ECO_Q6'!L10</f>
        <v>2.680341694400207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f>+'[2]D_Est ECO_Q6'!F11</f>
        <v>12920.546969999998</v>
      </c>
      <c r="E8" s="75">
        <f>+'[2]D_Est ECO_Q6'!H11</f>
        <v>13287.618759999996</v>
      </c>
      <c r="F8" s="75">
        <f>+'[2]D_Est ECO_Q6'!I11</f>
        <v>89.684087086225574</v>
      </c>
      <c r="G8" s="75">
        <f>+'[2]D_Est ECO_Q6'!J11</f>
        <v>89.897680000947148</v>
      </c>
      <c r="H8" s="254">
        <f>+'[2]D_Est ECO_Q6'!L11</f>
        <v>2.8409926518768596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f>+'[2]D_Est ECO_Q6'!F12</f>
        <v>71975.548689999952</v>
      </c>
      <c r="E9" s="75">
        <f>+'[2]D_Est ECO_Q6'!H12</f>
        <v>74014.504729999942</v>
      </c>
      <c r="F9" s="75">
        <f>+'[2]D_Est ECO_Q6'!I12</f>
        <v>80.156259681181936</v>
      </c>
      <c r="G9" s="75">
        <f>+'[2]D_Est ECO_Q6'!J12</f>
        <v>77.361580590814754</v>
      </c>
      <c r="H9" s="254">
        <f>+'[2]D_Est ECO_Q6'!L12</f>
        <v>2.8328454275240222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f>+'[2]D_Est ECO_Q6'!F13</f>
        <v>157108.30921999991</v>
      </c>
      <c r="E10" s="75">
        <f>+'[2]D_Est ECO_Q6'!H13</f>
        <v>143095.45462000003</v>
      </c>
      <c r="F10" s="75">
        <f>+'[2]D_Est ECO_Q6'!I13</f>
        <v>69.660322714550475</v>
      </c>
      <c r="G10" s="75">
        <f>+'[2]D_Est ECO_Q6'!J13</f>
        <v>66.842000041377034</v>
      </c>
      <c r="H10" s="254">
        <f>+'[2]D_Est ECO_Q6'!L13</f>
        <v>-8.919232005977209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f>+'[2]D_Est ECO_Q6'!F14</f>
        <v>118160.18909000001</v>
      </c>
      <c r="E11" s="75">
        <f>+'[2]D_Est ECO_Q6'!H14</f>
        <v>108297.21162</v>
      </c>
      <c r="F11" s="75">
        <f>+'[2]D_Est ECO_Q6'!I14</f>
        <v>86.100112913675915</v>
      </c>
      <c r="G11" s="75">
        <f>+'[2]D_Est ECO_Q6'!J14</f>
        <v>86.385287216100863</v>
      </c>
      <c r="H11" s="254">
        <f>+'[2]D_Est ECO_Q6'!L14</f>
        <v>-8.3471239729377888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f>+'[2]D_Est ECO_Q6'!F15</f>
        <v>557297.72777000011</v>
      </c>
      <c r="E12" s="74">
        <f>+'[2]D_Est ECO_Q6'!H15</f>
        <v>616094.00655999989</v>
      </c>
      <c r="F12" s="74">
        <f>+'[2]D_Est ECO_Q6'!I15</f>
        <v>80.019986292820562</v>
      </c>
      <c r="G12" s="74">
        <f>+'[2]D_Est ECO_Q6'!J15</f>
        <v>75.285710714727458</v>
      </c>
      <c r="H12" s="254">
        <f>+'[2]D_Est ECO_Q6'!L15</f>
        <v>10.550245561787994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f>+'[2]D_Est ECO_Q6'!F16</f>
        <v>483373.3756400001</v>
      </c>
      <c r="E13" s="74">
        <f>+'[2]D_Est ECO_Q6'!H16</f>
        <v>533555.33739999984</v>
      </c>
      <c r="F13" s="74">
        <f>+'[2]D_Est ECO_Q6'!I16</f>
        <v>84.862674138616981</v>
      </c>
      <c r="G13" s="74">
        <f>+'[2]D_Est ECO_Q6'!J16</f>
        <v>78.404765573697759</v>
      </c>
      <c r="H13" s="254">
        <f>+'[2]D_Est ECO_Q6'!L16</f>
        <v>10.381614770064115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f>+'[2]D_Est ECO_Q6'!F17</f>
        <v>117.78400000000001</v>
      </c>
      <c r="E14" s="75">
        <f>+'[2]D_Est ECO_Q6'!H17</f>
        <v>50</v>
      </c>
      <c r="F14" s="74">
        <f>+'[2]D_Est ECO_Q6'!I17</f>
        <v>16.558627331069921</v>
      </c>
      <c r="G14" s="74">
        <f>+'[2]D_Est ECO_Q6'!J17</f>
        <v>13.579170638574078</v>
      </c>
      <c r="H14" s="254">
        <f>+'[2]D_Est ECO_Q6'!L17</f>
        <v>-57.549412483868778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f>+'[2]D_Est ECO_Q6'!F18</f>
        <v>483255.59164000012</v>
      </c>
      <c r="E15" s="75">
        <f>+'[2]D_Est ECO_Q6'!H18</f>
        <v>533505.33739999984</v>
      </c>
      <c r="F15" s="75">
        <f>+'[2]D_Est ECO_Q6'!I18</f>
        <v>84.948079489057989</v>
      </c>
      <c r="G15" s="75">
        <f>+'[2]D_Est ECO_Q6'!J18</f>
        <v>78.439860255765964</v>
      </c>
      <c r="H15" s="254">
        <f>+'[2]D_Est ECO_Q6'!L18</f>
        <v>10.398171615452952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f>+'[2]D_Est ECO_Q6'!F19</f>
        <v>0</v>
      </c>
      <c r="E16" s="75">
        <f>+'[2]D_Est ECO_Q6'!H19</f>
        <v>0</v>
      </c>
      <c r="F16" s="75">
        <f>+'[2]D_Est ECO_Q6'!I19</f>
        <v>0</v>
      </c>
      <c r="G16" s="75">
        <f>+'[2]D_Est ECO_Q6'!J19</f>
        <v>0</v>
      </c>
      <c r="H16" s="254" t="str">
        <f>+'[2]D_Est ECO_Q6'!L19</f>
        <v>-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f>+'[2]D_Est ECO_Q6'!F20</f>
        <v>0</v>
      </c>
      <c r="E17" s="72">
        <f>+'[2]D_Est ECO_Q6'!H20</f>
        <v>0</v>
      </c>
      <c r="F17" s="72">
        <f>+'[2]D_Est ECO_Q6'!I20</f>
        <v>0</v>
      </c>
      <c r="G17" s="72">
        <f>+'[2]D_Est ECO_Q6'!J20</f>
        <v>0</v>
      </c>
      <c r="H17" s="77" t="str">
        <f>+'[2]D_Est ECO_Q6'!L20</f>
        <v>-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f>+'[2]D_Est ECO_Q6'!F21</f>
        <v>73924.35212999997</v>
      </c>
      <c r="E18" s="75">
        <f>+'[2]D_Est ECO_Q6'!H21</f>
        <v>82538.669160000049</v>
      </c>
      <c r="F18" s="72">
        <f>+'[2]D_Est ECO_Q6'!I21</f>
        <v>58.275433713148985</v>
      </c>
      <c r="G18" s="72">
        <f>+'[2]D_Est ECO_Q6'!J21</f>
        <v>59.885568369787293</v>
      </c>
      <c r="H18" s="77">
        <f>+'[2]D_Est ECO_Q6'!L21</f>
        <v>11.652881333138145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f>+'[2]D_Est ECO_Q6'!F27</f>
        <v>28402.098770000001</v>
      </c>
      <c r="E19" s="72">
        <f>+'[2]D_Est ECO_Q6'!H27</f>
        <v>5367.6739299999999</v>
      </c>
      <c r="F19" s="72">
        <f>+'[2]D_Est ECO_Q6'!I27</f>
        <v>56.098771199818231</v>
      </c>
      <c r="G19" s="72">
        <f>+'[2]D_Est ECO_Q6'!J27</f>
        <v>37.420705741053062</v>
      </c>
      <c r="H19" s="77">
        <f>+'[2]D_Est ECO_Q6'!L27</f>
        <v>-81.101136315779385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f>+'[2]D_Est ECO_Q6'!F28</f>
        <v>907.2712700000003</v>
      </c>
      <c r="E20" s="72">
        <f>+'[2]D_Est ECO_Q6'!H28</f>
        <v>791.43873999999994</v>
      </c>
      <c r="F20" s="72">
        <f>+'[2]D_Est ECO_Q6'!I28</f>
        <v>13.649568685245997</v>
      </c>
      <c r="G20" s="72">
        <f>+'[2]D_Est ECO_Q6'!J28</f>
        <v>54.70758313396756</v>
      </c>
      <c r="H20" s="77">
        <f>+'[2]D_Est ECO_Q6'!L28</f>
        <v>-12.767133031777842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f>+'[2]D_Est ECO_Q6'!F30</f>
        <v>1177533.0756199998</v>
      </c>
      <c r="E22" s="78">
        <f>+'[2]D_Est ECO_Q6'!H30</f>
        <v>1210924.5606699998</v>
      </c>
      <c r="F22" s="78">
        <f>+'[2]D_Est ECO_Q6'!I30</f>
        <v>80.267599056446542</v>
      </c>
      <c r="G22" s="78">
        <f>+'[2]D_Est ECO_Q6'!J30</f>
        <v>78.003017058013924</v>
      </c>
      <c r="H22" s="76">
        <f>+'[2]D_Est ECO_Q6'!L30</f>
        <v>2.8357152543183202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f>+'[2]D_Est ECO_Q6'!F32</f>
        <v>132340.94716000001</v>
      </c>
      <c r="E24" s="78">
        <f>+'[2]D_Est ECO_Q6'!H32</f>
        <v>142945.81169999993</v>
      </c>
      <c r="F24" s="78">
        <f>+'[2]D_Est ECO_Q6'!I32</f>
        <v>42.005307059913861</v>
      </c>
      <c r="G24" s="78">
        <f>+'[2]D_Est ECO_Q6'!J32</f>
        <v>41.383309478970588</v>
      </c>
      <c r="H24" s="76">
        <f>+'[2]D_Est ECO_Q6'!L32</f>
        <v>8.0132904951773227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f>+'[2]D_Est ECO_Q6'!F33</f>
        <v>92478.822480000017</v>
      </c>
      <c r="E25" s="72">
        <f>+'[2]D_Est ECO_Q6'!H33</f>
        <v>65671.841389999943</v>
      </c>
      <c r="F25" s="72">
        <f>+'[2]D_Est ECO_Q6'!I33</f>
        <v>48.082134273742021</v>
      </c>
      <c r="G25" s="72">
        <f>+'[2]D_Est ECO_Q6'!J33</f>
        <v>40.363193523031626</v>
      </c>
      <c r="H25" s="77">
        <f>+'[2]D_Est ECO_Q6'!L33</f>
        <v>-28.987156595551916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f>+'[2]D_Est ECO_Q6'!F34</f>
        <v>39862.124680000001</v>
      </c>
      <c r="E26" s="59">
        <f>+'[2]D_Est ECO_Q6'!H34</f>
        <v>77273.97030999999</v>
      </c>
      <c r="F26" s="59">
        <f>+'[2]D_Est ECO_Q6'!I34</f>
        <v>33.019609653802959</v>
      </c>
      <c r="G26" s="59">
        <f>+'[2]D_Est ECO_Q6'!J34</f>
        <v>42.291684046486345</v>
      </c>
      <c r="H26" s="77">
        <f>+'[2]D_Est ECO_Q6'!L34</f>
        <v>93.853114780835085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f>+'[2]D_Est ECO_Q6'!F35</f>
        <v>29682.541940000003</v>
      </c>
      <c r="E27" s="59">
        <f>+'[2]D_Est ECO_Q6'!H35</f>
        <v>61159.190409999988</v>
      </c>
      <c r="F27" s="59">
        <f>+'[2]D_Est ECO_Q6'!I35</f>
        <v>35.431942178112443</v>
      </c>
      <c r="G27" s="59">
        <f>+'[2]D_Est ECO_Q6'!J35</f>
        <v>55.875787184325709</v>
      </c>
      <c r="H27" s="77">
        <f>+'[2]D_Est ECO_Q6'!L35</f>
        <v>106.04431565742102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f>+'[2]D_Est ECO_Q6'!F36</f>
        <v>10137.75088</v>
      </c>
      <c r="E28" s="72">
        <f>+'[2]D_Est ECO_Q6'!H36</f>
        <v>9913.973</v>
      </c>
      <c r="F28" s="72">
        <f>+'[2]D_Est ECO_Q6'!I36</f>
        <v>94.04626395792917</v>
      </c>
      <c r="G28" s="72">
        <f>+'[2]D_Est ECO_Q6'!J36</f>
        <v>52.227294182599003</v>
      </c>
      <c r="H28" s="77">
        <f>+'[2]D_Est ECO_Q6'!L36</f>
        <v>-2.2073720556842056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f>+'[2]D_Est ECO_Q6'!F37</f>
        <v>18290.456780000004</v>
      </c>
      <c r="E29" s="72">
        <f>+'[2]D_Est ECO_Q6'!H37</f>
        <v>44136.868849999992</v>
      </c>
      <c r="F29" s="72">
        <f>+'[2]D_Est ECO_Q6'!I37</f>
        <v>27.106226470763943</v>
      </c>
      <c r="G29" s="72">
        <f>+'[2]D_Est ECO_Q6'!J37</f>
        <v>54.283108053112464</v>
      </c>
      <c r="H29" s="77">
        <f>+'[2]D_Est ECO_Q6'!L37</f>
        <v>141.31091629303739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f>+'[2]D_Est ECO_Q6'!F38</f>
        <v>1254.33428</v>
      </c>
      <c r="E30" s="72">
        <f>+'[2]D_Est ECO_Q6'!H38</f>
        <v>7108.3485599999995</v>
      </c>
      <c r="F30" s="72">
        <f>+'[2]D_Est ECO_Q6'!I38</f>
        <v>22.736195022390273</v>
      </c>
      <c r="G30" s="72">
        <f>+'[2]D_Est ECO_Q6'!J38</f>
        <v>77.56310760971563</v>
      </c>
      <c r="H30" s="77">
        <f>+'[2]D_Est ECO_Q6'!L38</f>
        <v>466.7028856135542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f>+'[2]D_Est ECO_Q6'!F46</f>
        <v>0</v>
      </c>
      <c r="E31" s="75">
        <f>+'[2]D_Est ECO_Q6'!H46</f>
        <v>0</v>
      </c>
      <c r="F31" s="75">
        <f>+'[2]D_Est ECO_Q6'!I46</f>
        <v>0</v>
      </c>
      <c r="G31" s="75">
        <f>+'[2]D_Est ECO_Q6'!J46</f>
        <v>0</v>
      </c>
      <c r="H31" s="77">
        <f>+'[2]D_Est ECO_Q6'!L46</f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f>+'[2]D_Est ECO_Q6'!F48</f>
        <v>1428034.2118699998</v>
      </c>
      <c r="E33" s="142">
        <f>+'[2]D_Est ECO_Q6'!H48</f>
        <v>1462167.5839899997</v>
      </c>
      <c r="F33" s="143">
        <f>+'[2]D_Est ECO_Q6'!I48</f>
        <v>74.403803198191795</v>
      </c>
      <c r="G33" s="143">
        <f>+'[2]D_Est ECO_Q6'!J48</f>
        <v>72.270343998291537</v>
      </c>
      <c r="H33" s="141">
        <f>+'[2]D_Est ECO_Q6'!L48</f>
        <v>2.3902349002761332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f>+'[2]D_Est ECO_Q6'!F51</f>
        <v>14258.04883</v>
      </c>
      <c r="E36" s="150">
        <f>+'[2]D_Est ECO_Q6'!H51</f>
        <v>52583.772969999998</v>
      </c>
      <c r="F36" s="150">
        <f>+'[2]D_Est ECO_Q6'!I51</f>
        <v>72.29086905769239</v>
      </c>
      <c r="G36" s="150">
        <f>+'[2]D_Est ECO_Q6'!J51</f>
        <v>85.650459639416582</v>
      </c>
      <c r="H36" s="128">
        <f>+'[2]D_Est ECO_Q6'!L51</f>
        <v>268.80062340198896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f>+'[2]D_Est ECO_Q6'!F52</f>
        <v>233330.28303999998</v>
      </c>
      <c r="E37" s="150">
        <f>+'[2]D_Est ECO_Q6'!H52</f>
        <v>436527.09748</v>
      </c>
      <c r="F37" s="150">
        <f>+'[2]D_Est ECO_Q6'!I52</f>
        <v>88.60996248882384</v>
      </c>
      <c r="G37" s="150">
        <f>+'[2]D_Est ECO_Q6'!J52</f>
        <v>94.137366577893062</v>
      </c>
      <c r="H37" s="128">
        <f>+'[2]D_Est ECO_Q6'!L52</f>
        <v>87.085487486922503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0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5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17</vt:i4>
      </vt:variant>
      <vt:variant>
        <vt:lpstr>Intervalos com Nome</vt:lpstr>
      </vt:variant>
      <vt:variant>
        <vt:i4>19</vt:i4>
      </vt:variant>
    </vt:vector>
  </HeadingPairs>
  <TitlesOfParts>
    <vt:vector size="36" baseType="lpstr">
      <vt:lpstr>CAPA ENG</vt:lpstr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2025-12-29T10:29:07Z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