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https://madeiragov-my.sharepoint.com/personal/jisabel_c_macedo_madeira_gov_pt/Documents/Ambiente de Trabalho/Pós estágio/2026/IPG_2027-2029/"/>
    </mc:Choice>
  </mc:AlternateContent>
  <xr:revisionPtr revIDLastSave="1192" documentId="8_{984E0C75-441E-4F58-9BF1-CBBA63EC7AD2}" xr6:coauthVersionLast="47" xr6:coauthVersionMax="47" xr10:uidLastSave="{F48A49B6-A998-4F4E-8572-2A0CCFE6B6A0}"/>
  <bookViews>
    <workbookView xWindow="2606" yWindow="2974" windowWidth="13234" windowHeight="9197" activeTab="1" xr2:uid="{41B747C0-D92C-4A73-8EEF-7899634003A0}"/>
  </bookViews>
  <sheets>
    <sheet name="Índice" sheetId="1" r:id="rId1"/>
    <sheet name="Instruções" sheetId="2" r:id="rId2"/>
    <sheet name="Resumo" sheetId="3" r:id="rId3"/>
    <sheet name="BAL" sheetId="4" r:id="rId4"/>
    <sheet name="DR" sheetId="5" r:id="rId5"/>
    <sheet name="DFC" sheetId="18" r:id="rId6"/>
    <sheet name="DFC vs ORAM" sheetId="17" r:id="rId7"/>
    <sheet name="Investimentos" sheetId="7" r:id="rId8"/>
    <sheet name="Quadro RH1" sheetId="9" r:id="rId9"/>
    <sheet name="Quadro RH2" sheetId="11" r:id="rId10"/>
    <sheet name="Avenças" sheetId="19" r:id="rId11"/>
    <sheet name="Eficiência Operacional" sheetId="8" r:id="rId12"/>
    <sheet name="Outros" sheetId="12" r:id="rId13"/>
    <sheet name="Rácios Econ. e financ." sheetId="14" r:id="rId14"/>
    <sheet name="Verificação" sheetId="13" r:id="rId15"/>
  </sheets>
  <definedNames>
    <definedName name="_xlnm._FilterDatabase" localSheetId="7" hidden="1">Investimentos!$A$9:$A$11</definedName>
    <definedName name="ARREARS_2024">Outros!$C$30</definedName>
    <definedName name="ARREARS_2025">Outros!$D$30</definedName>
    <definedName name="ARREARS_2026E">Outros!$F$30</definedName>
    <definedName name="ARREARS_2027">Outros!$G$30</definedName>
    <definedName name="ARREARS_2028">Outros!$H$30</definedName>
    <definedName name="ARREARS_2029">Outros!$I$30</definedName>
    <definedName name="ARREARS_PAO2026">Outros!$E$30</definedName>
    <definedName name="ATIVO_1T2027">BAL!$H$36</definedName>
    <definedName name="Ativo_2024">BAL!$D$36</definedName>
    <definedName name="ATIVO_2025">BAL!$E$36</definedName>
    <definedName name="ATIVO_2026E">BAL!$G$36</definedName>
    <definedName name="ATIVO_2026PAO">BAL!$F$36</definedName>
    <definedName name="ATIVO_2027">BAL!$K$36</definedName>
    <definedName name="ATIVO_2028">BAL!$L$36</definedName>
    <definedName name="ATIVO_2029">BAL!$M$36</definedName>
    <definedName name="ATIVO_2T2027">BAL!$I$36</definedName>
    <definedName name="ATIVO_3T2027">BAL!$J$36</definedName>
    <definedName name="ATIVO_CORRENTE_1T2027">BAL!$H$35</definedName>
    <definedName name="ATIVO_CORRENTE_2024">BAL!$D$35</definedName>
    <definedName name="ATIVO_CORRENTE_2025">BAL!$E$35</definedName>
    <definedName name="ATIVO_CORRENTE_2026E">BAL!$G$35</definedName>
    <definedName name="ATIVO_CORRENTE_2026PAO">BAL!$F$35</definedName>
    <definedName name="ATIVO_CORRENTE_2027">BAL!$K$35</definedName>
    <definedName name="ATIVO_CORRENTE_2028">BAL!$L$35</definedName>
    <definedName name="ATIVO_CORRENTE_2029">BAL!$M$35</definedName>
    <definedName name="ATIVO_CORRENTE_2T2027">BAL!$I$35</definedName>
    <definedName name="ATIVO_CORRENTE_3T2027">BAL!$J$35</definedName>
    <definedName name="ATIVO_NÃO_CORRENTE_1T2027">BAL!$H$21</definedName>
    <definedName name="ATIVO_NÃO_CORRENTE_2024">BAL!$D$21</definedName>
    <definedName name="ATIVO_NÃO_CORRENTE_2025">BAL!$E$21</definedName>
    <definedName name="ATIVO_NÃO_CORRENTE_2026E">BAL!$G$21</definedName>
    <definedName name="ATIVO_NÃO_CORRENTE_2026PAO">BAL!$F$21</definedName>
    <definedName name="ATIVO_NÃO_CORRENTE_2027">BAL!$K$21</definedName>
    <definedName name="ATIVO_NÃO_CORRENTE_2028">BAL!$L$21</definedName>
    <definedName name="ATIVO_NÃO_CORRENTE_2029">BAL!$M$21</definedName>
    <definedName name="ATIVO_NÃO_CORRENTE_2T2027">BAL!$I$21</definedName>
    <definedName name="ATIVO_NÃO_CORRENTE_3T2027">BAL!$J$21</definedName>
    <definedName name="CAIXA_DFC_1T2027">DFC!$H$45</definedName>
    <definedName name="CAIXA_DFC_2024">DFC!$D$45</definedName>
    <definedName name="CAIXA_DFC_2025">DFC!$E$45</definedName>
    <definedName name="CAIXA_DFC_2026E">DFC!$G$45</definedName>
    <definedName name="CAIXA_DFC_2026PAO">DFC!$F$45</definedName>
    <definedName name="CAIXA_DFC_2027">DFC!$K$45</definedName>
    <definedName name="CAIXA_DFC_2028">DFC!$L$45</definedName>
    <definedName name="CAIXA_DFC_2029">DFC!$M$45</definedName>
    <definedName name="CAIXA_DFC_2T2027">DFC!$I$45</definedName>
    <definedName name="CAIXA_DFC_3T2027">DFC!$J$45</definedName>
    <definedName name="CMVMC_1T2027">DR!$H$13</definedName>
    <definedName name="CMVMC_2024">DR!$D$13</definedName>
    <definedName name="CMVMC_2025">DR!$E$13</definedName>
    <definedName name="CMVMC_2026E">DR!$G$13</definedName>
    <definedName name="CMVMC_2026PAO">DR!$F$13</definedName>
    <definedName name="CMVMC_2027">DR!$K$13</definedName>
    <definedName name="CMVMC_2028">DR!$L$13</definedName>
    <definedName name="CMVMC_2029">DR!$M$13</definedName>
    <definedName name="CMVMC_2T2027">DR!$I$13</definedName>
    <definedName name="CMVMC_3T2027">DR!$J$13</definedName>
    <definedName name="DISPONIBILIDADES_1T2027">BAL!$H$34</definedName>
    <definedName name="DISPONIBILIDADES_2024">BAL!$D$34</definedName>
    <definedName name="DISPONIBILIDADES_2025">BAL!$E$34</definedName>
    <definedName name="DISPONIBILIDADES_2026E">BAL!$G$34</definedName>
    <definedName name="DISPONIBILIDADES_2026PAO">BAL!$F$34</definedName>
    <definedName name="DISPONIBILIDADES_2027">BAL!$K$34</definedName>
    <definedName name="DISPONIBILIDADES_2028">BAL!$L$34</definedName>
    <definedName name="DISPONIBILIDADES_2029">BAL!$M$34</definedName>
    <definedName name="DISPONIBILIDADES_2T2027">BAL!$I$34</definedName>
    <definedName name="DISPONIBILIDADES_3T2027">BAL!$J$34</definedName>
    <definedName name="EBIT_1T2027">DR!$H$26</definedName>
    <definedName name="EBIT_2024">DR!$D$26</definedName>
    <definedName name="EBIT_2025">DR!$E$26</definedName>
    <definedName name="EBIT_2026E">DR!$G$26</definedName>
    <definedName name="EBIT_2026PAO">DR!$F$26</definedName>
    <definedName name="EBIT_2027">DR!$K$26</definedName>
    <definedName name="EBIT_2028">DR!$L$26</definedName>
    <definedName name="EBIT_2029">DR!$M$26</definedName>
    <definedName name="EBIT_2T2027">DR!$I$26</definedName>
    <definedName name="EBIT_3T2027">DR!$J$26</definedName>
    <definedName name="EBITDA_1T2027">DR!$H$23</definedName>
    <definedName name="EBITDA_2024">DR!$D$23</definedName>
    <definedName name="EBITDA_2025">DR!$E$23</definedName>
    <definedName name="EBITDA_2026E">DR!$G$23</definedName>
    <definedName name="EBITDA_2026PAO">DR!$F$23</definedName>
    <definedName name="EBITDA_2027">DR!$K$23</definedName>
    <definedName name="EBITDA_2028">DR!$L$23</definedName>
    <definedName name="EBITDA_2029">DR!$M$23</definedName>
    <definedName name="EBITDA_2T2027">DR!$I$23</definedName>
    <definedName name="EBITDA_3T2027">DR!$J$23</definedName>
    <definedName name="FO_PC_1T2027">BAL!$H$72</definedName>
    <definedName name="FO_PC_2024">BAL!$D$72</definedName>
    <definedName name="FO_PC_2025">BAL!$E$72</definedName>
    <definedName name="FO_PC_2026E">BAL!$G$72</definedName>
    <definedName name="FO_PC_2026PAO">BAL!$F$72</definedName>
    <definedName name="FO_PC_2027">BAL!$K$72</definedName>
    <definedName name="FO_PC_2028">BAL!$L$72</definedName>
    <definedName name="FO_PC_2029">BAL!$M$72</definedName>
    <definedName name="FO_PC_2T2027">BAL!$I$72</definedName>
    <definedName name="FO_PC_3T2027">BAL!$J$72</definedName>
    <definedName name="FO_PNC_1T2027">BAL!$H$56</definedName>
    <definedName name="FO_PNC_2024">BAL!$D$56</definedName>
    <definedName name="FO_PNC_2025">BAL!$E$56</definedName>
    <definedName name="FO_PNC_2026E">BAL!$G$56</definedName>
    <definedName name="FO_PNC_2026PAO">BAL!$F$56</definedName>
    <definedName name="FO_PNC_2027">BAL!$K$56</definedName>
    <definedName name="FO_PNC_2028">BAL!$L$56</definedName>
    <definedName name="FO_PNC_2029">BAL!$M$56</definedName>
    <definedName name="FO_PNC_2T2027">BAL!$I$56</definedName>
    <definedName name="FO_PNC_3T2027">BAL!$J$56</definedName>
    <definedName name="FSE_1T2027">DR!$H$14</definedName>
    <definedName name="FSE_2024">DR!$D$14</definedName>
    <definedName name="FSE_2025">DR!$E$14</definedName>
    <definedName name="FSE_2026E">DR!$G$14</definedName>
    <definedName name="FSE_2026PAO">DR!$F$14</definedName>
    <definedName name="FSE_2027">DR!$K$14</definedName>
    <definedName name="FSE_2028">DR!$L$14</definedName>
    <definedName name="FSE_2029">DR!$M$14</definedName>
    <definedName name="FSE_2T2027">DR!$I$14</definedName>
    <definedName name="FSE_3T2027">DR!$J$14</definedName>
    <definedName name="Gastos_com_órgãos_sociais_2024">'Quadro RH1'!$C$11</definedName>
    <definedName name="Gastos_com_órgãos_sociais_2025">'Quadro RH1'!$D$11</definedName>
    <definedName name="Gastos_com_órgãos_sociais_2026E">'Quadro RH1'!$F$11</definedName>
    <definedName name="Gastos_com_órgãos_sociais_2026PAO">'Quadro RH1'!$E$11</definedName>
    <definedName name="Gastos_com_órgãos_sociais_2027">'Quadro RH1'!$G$11</definedName>
    <definedName name="Gastos_com_órgãos_sociais_2028">'Quadro RH1'!$H$11</definedName>
    <definedName name="Gastos_com_órgãos_sociais_2029">'Quadro RH1'!$I$11</definedName>
    <definedName name="GASTOS_PESSOAL_1T2027">DR!$H$15</definedName>
    <definedName name="GASTOS_PESSOAL_2024">DR!$D$15</definedName>
    <definedName name="GASTOS_PESSOAL_2025">DR!$E$15</definedName>
    <definedName name="GASTOS_PESSOAL_2026E">DR!$G$15</definedName>
    <definedName name="GASTOS_PESSOAL_2026PAO">DR!$F$15</definedName>
    <definedName name="GASTOS_PESSOAL_2027">DR!$K$15</definedName>
    <definedName name="GASTOS_PESSOAL_2028">DR!$L$15</definedName>
    <definedName name="GASTOS_PESSOAL_2029">DR!$M$15</definedName>
    <definedName name="GASTOS_PESSOAL_2T2027">DR!$I$15</definedName>
    <definedName name="GASTOS_PESSOAL_3T2027">DR!$J$15</definedName>
    <definedName name="GO_2024">'Eficiência Operacional'!$C$13</definedName>
    <definedName name="GO_2025">'Eficiência Operacional'!$D$13</definedName>
    <definedName name="GO_2026E">'Eficiência Operacional'!$F$13</definedName>
    <definedName name="GO_2027">'Eficiência Operacional'!$G$13</definedName>
    <definedName name="GO_2028">'Eficiência Operacional'!$H$13</definedName>
    <definedName name="GO_2029">'Eficiência Operacional'!$I$13</definedName>
    <definedName name="GO_PAO2026">'Eficiência Operacional'!$E$13</definedName>
    <definedName name="PASSIVO_1T2027">BAL!$H$78</definedName>
    <definedName name="PASSIVO_2024">BAL!$D$78</definedName>
    <definedName name="PASSIVO_2025">BAL!$E$78</definedName>
    <definedName name="PASSIVO_2026E">BAL!$G$78</definedName>
    <definedName name="PASSIVO_2026PAO">BAL!$F$78</definedName>
    <definedName name="PASSIVO_2027">BAL!$K$78</definedName>
    <definedName name="PASSIVO_2028">BAL!$L$78</definedName>
    <definedName name="PASSIVO_2029">BAL!$M$78</definedName>
    <definedName name="PASSIVO_2T2027">BAL!$I$78</definedName>
    <definedName name="PASSIVO_3T2027">BAL!$J$78</definedName>
    <definedName name="PASSIVO_CORRENTE_1T2027">BAL!$H$77</definedName>
    <definedName name="PASSIVO_CORRENTE_2024">BAL!$D$77</definedName>
    <definedName name="PASSIVO_CORRENTE_2025">BAL!$E$77</definedName>
    <definedName name="PASSIVO_CORRENTE_2026E">BAL!$G$77</definedName>
    <definedName name="PASSIVO_CORRENTE_2026PAO">BAL!$F$77</definedName>
    <definedName name="PASSIVO_CORRENTE_2027">BAL!$K$77</definedName>
    <definedName name="PASSIVO_CORRENTE_2028">BAL!$L$77</definedName>
    <definedName name="PASSIVO_CORRENTE_2029">BAL!$M$77</definedName>
    <definedName name="PASSIVO_CORRENTE_3T2027">BAL!$J$77</definedName>
    <definedName name="PASSIVO_CORRRENTE_2T2027">BAL!$I$77</definedName>
    <definedName name="PASSIVO_NÃO_CORRENTE_1T2027">BAL!$H$63</definedName>
    <definedName name="PASSIVO_NÃO_CORRENTE_2024">BAL!$D$63</definedName>
    <definedName name="PASSIVO_NÃO_CORRENTE_2025">BAL!$E$63</definedName>
    <definedName name="PASSIVO_NÃO_CORRENTE_2026E">BAL!$G$63</definedName>
    <definedName name="PASSIVO_NÃO_CORRENTE_2026PAO">BAL!$F$63</definedName>
    <definedName name="PASSIVO_NÃO_CORRENTE_2027">BAL!$K$63</definedName>
    <definedName name="PASSIVO_NÃO_CORRENTE_2028">BAL!$L$63</definedName>
    <definedName name="PASSIVO_NÃO_CORRENTE_2029">BAL!$M$63</definedName>
    <definedName name="PASSIVO_NÃO_CORRENTE_2T2027">BAL!$I$63</definedName>
    <definedName name="PASSIVO_NÃO_CORRENTE_3T2027">BAL!$J$63</definedName>
    <definedName name="PATRIMÓNIO_1T2027">BAL!$H$39</definedName>
    <definedName name="PATRIMÓNIO_2024">BAL!$D$39</definedName>
    <definedName name="PATRIMÓNIO_2025">BAL!$E$39</definedName>
    <definedName name="PATRIMÓNIO_2026E">BAL!$G$39</definedName>
    <definedName name="PATRIMÓNIO_2026PAO">BAL!$F$39</definedName>
    <definedName name="PATRIMÓNIO_2027">BAL!$K$39</definedName>
    <definedName name="PATRIMÓNIO_2028">BAL!$L$39</definedName>
    <definedName name="PATRIMÓNIO_2029">BAL!$M$39</definedName>
    <definedName name="PATRIMÓNIO_2T2027">BAL!$I$39</definedName>
    <definedName name="PATRIMÓNIO_3T2027">BAL!$J$39</definedName>
    <definedName name="PATRIMÓNIO_LÍQUIDO_1T2027">BAL!$H$50</definedName>
    <definedName name="PATRIMÓNIO_LÍQUIDO_2024">BAL!$D$50</definedName>
    <definedName name="PATRIMÓNIO_LÍQUIDO_2025">BAL!$E$50</definedName>
    <definedName name="PATRIMÓNIO_LÍQUIDO_2026E">BAL!$G$50</definedName>
    <definedName name="PATRIMÓNIO_LÍQUIDO_2026PAO">BAL!$F$50</definedName>
    <definedName name="PATRIMÓNIO_LÍQUIDO_2027">BAL!$K$50</definedName>
    <definedName name="PATRIMÓNIO_LÍQUIDO_2028">BAL!$L$50</definedName>
    <definedName name="PATRIMÓNIO_LÍQUIDO_2029">BAL!$M$50</definedName>
    <definedName name="PATRIMÓNIO_LÍQUIDO_2T2027">BAL!$I$50</definedName>
    <definedName name="PATRIMÓNIO_LÍQUIDO_3T2027">BAL!$J$50</definedName>
    <definedName name="PMP_2024">Outros!$C$23</definedName>
    <definedName name="PMP_2025">Outros!$D$23</definedName>
    <definedName name="PMP_2026E">Outros!$F$23</definedName>
    <definedName name="PMP_2026PAO">Outros!$E$23</definedName>
    <definedName name="PMP_2027">Outros!$G$23</definedName>
    <definedName name="PMP_2028">Outros!$H$23</definedName>
    <definedName name="PMP_2029">Outros!$I$23</definedName>
    <definedName name="RAI_1T2027">DR!$H$30</definedName>
    <definedName name="RAI_2024">DR!$D$30</definedName>
    <definedName name="RAI_2025">DR!$E$30</definedName>
    <definedName name="RAI_2026E">DR!$G$30</definedName>
    <definedName name="RAI_2027">DR!$K$30</definedName>
    <definedName name="RAI_2028">DR!$L$30</definedName>
    <definedName name="RAI_2029">DR!$M$30</definedName>
    <definedName name="RAI_2T2027">DR!$I$30</definedName>
    <definedName name="RAI_3T2027">DR!$J$30</definedName>
    <definedName name="RAI_PAO2026">DR!$F$30</definedName>
    <definedName name="RL_1T2027">DR!$H$32</definedName>
    <definedName name="RL_2024">DR!$D$32</definedName>
    <definedName name="RL_2025">DR!$E$32</definedName>
    <definedName name="RL_2026E">DR!$G$32</definedName>
    <definedName name="RL_2026PAO">DR!$F$32</definedName>
    <definedName name="RL_2027">DR!$K$32</definedName>
    <definedName name="RL_2028">DR!$L$32</definedName>
    <definedName name="RL_2029">DR!$M$32</definedName>
    <definedName name="RL_2T2027">DR!$I$32</definedName>
    <definedName name="RL_3T2027">DR!$J$32</definedName>
    <definedName name="RL_BAL_1T2027">BAL!$H$49</definedName>
    <definedName name="RL_BAL_2024">BAL!$D$49</definedName>
    <definedName name="RL_BAL_2025">BAL!$E$49</definedName>
    <definedName name="RL_BAL_2026E">BAL!$G$49</definedName>
    <definedName name="RL_BAL_2026PAO">BAL!$F$49</definedName>
    <definedName name="RL_BAL_2027">BAL!$K$49</definedName>
    <definedName name="RL_BAL_2028">BAL!$L$49</definedName>
    <definedName name="RL_BAL_2029">BAL!$M$49</definedName>
    <definedName name="RL_BAL_2T2027">BAL!$I$49</definedName>
    <definedName name="RL_BAL_3T2027">BAL!$J$49</definedName>
    <definedName name="VENDAS_SP_1T2027">DR!$H$8</definedName>
    <definedName name="VENDAS_SP_2024">DR!$D$8</definedName>
    <definedName name="VENDAS_SP_2025">DR!$E$8</definedName>
    <definedName name="VENDAS_SP_2026E">DR!$G$8</definedName>
    <definedName name="VENDAS_SP_2026PAO">DR!$F$8</definedName>
    <definedName name="VENDAS_SP_2027">DR!$K$8</definedName>
    <definedName name="VENDAS_SP_2028">DR!$L$8</definedName>
    <definedName name="VENDAS_SP_2029">DR!$M$8</definedName>
    <definedName name="VENDAS_SP_2T2027">DR!$I$8</definedName>
    <definedName name="VENDAS_SP_3T2027">DR!$J$8</definedName>
    <definedName name="VN_2024">'Eficiência Operacional'!$C$22</definedName>
    <definedName name="VN_2025">'Eficiência Operacional'!$D$22</definedName>
    <definedName name="VN_2026E">'Eficiência Operacional'!$F$22</definedName>
    <definedName name="VN_2026PAO">'Eficiência Operacional'!$E$22</definedName>
    <definedName name="VN_2027">'Eficiência Operacional'!$G$22</definedName>
    <definedName name="VN_2028">'Eficiência Operacional'!$H$22</definedName>
    <definedName name="VN_2029">'Eficiência Operacional'!$I$22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3" l="1"/>
  <c r="N9" i="13" l="1"/>
  <c r="N8" i="13"/>
  <c r="F13" i="13" l="1"/>
  <c r="J39" i="12" l="1"/>
  <c r="K39" i="12" s="1"/>
  <c r="C43" i="12"/>
  <c r="D43" i="12"/>
  <c r="E43" i="12"/>
  <c r="F43" i="12"/>
  <c r="G43" i="12"/>
  <c r="G45" i="12" s="1"/>
  <c r="H43" i="12"/>
  <c r="I43" i="12"/>
  <c r="C18" i="8"/>
  <c r="C12" i="19"/>
  <c r="G12" i="19"/>
  <c r="F12" i="19"/>
  <c r="E12" i="19"/>
  <c r="D12" i="19"/>
  <c r="Z12" i="11"/>
  <c r="Y12" i="11"/>
  <c r="W12" i="11"/>
  <c r="T12" i="11"/>
  <c r="S12" i="11"/>
  <c r="Q12" i="11"/>
  <c r="N12" i="11"/>
  <c r="K12" i="11"/>
  <c r="J12" i="11"/>
  <c r="C32" i="9"/>
  <c r="C58" i="8"/>
  <c r="E40" i="7"/>
  <c r="E39" i="7"/>
  <c r="E42" i="7" s="1"/>
  <c r="F40" i="7"/>
  <c r="G40" i="7"/>
  <c r="H40" i="7"/>
  <c r="I40" i="7"/>
  <c r="J40" i="7"/>
  <c r="K40" i="7"/>
  <c r="L40" i="7"/>
  <c r="M40" i="7"/>
  <c r="N40" i="7"/>
  <c r="F39" i="7"/>
  <c r="G39" i="7"/>
  <c r="H39" i="7"/>
  <c r="I39" i="7"/>
  <c r="J39" i="7"/>
  <c r="K39" i="7"/>
  <c r="L39" i="7"/>
  <c r="M39" i="7"/>
  <c r="N39" i="7"/>
  <c r="C23" i="17" l="1"/>
  <c r="C35" i="17" s="1"/>
  <c r="D74" i="17"/>
  <c r="C63" i="17"/>
  <c r="C48" i="17"/>
  <c r="D37" i="17"/>
  <c r="D23" i="17"/>
  <c r="D35" i="17" s="1"/>
  <c r="D21" i="4"/>
  <c r="D23" i="5"/>
  <c r="E23" i="5"/>
  <c r="F23" i="5"/>
  <c r="G23" i="5"/>
  <c r="G26" i="5" s="1"/>
  <c r="G30" i="5" s="1"/>
  <c r="G32" i="5" s="1"/>
  <c r="H23" i="5"/>
  <c r="H26" i="5" s="1"/>
  <c r="H30" i="5" s="1"/>
  <c r="H32" i="5" s="1"/>
  <c r="I23" i="5"/>
  <c r="I26" i="5" s="1"/>
  <c r="I30" i="5" s="1"/>
  <c r="I32" i="5" s="1"/>
  <c r="J23" i="5"/>
  <c r="J26" i="5" s="1"/>
  <c r="J30" i="5" s="1"/>
  <c r="J32" i="5" s="1"/>
  <c r="K23" i="5"/>
  <c r="D26" i="5"/>
  <c r="D30" i="5" s="1"/>
  <c r="D32" i="5" s="1"/>
  <c r="E26" i="5"/>
  <c r="E30" i="5" s="1"/>
  <c r="E32" i="5" s="1"/>
  <c r="F26" i="5"/>
  <c r="F30" i="5" s="1"/>
  <c r="F32" i="5" s="1"/>
  <c r="K26" i="5" l="1"/>
  <c r="I10" i="14"/>
  <c r="I8" i="14"/>
  <c r="I7" i="14"/>
  <c r="I6" i="14"/>
  <c r="D77" i="4"/>
  <c r="E77" i="4"/>
  <c r="F77" i="4"/>
  <c r="G77" i="4"/>
  <c r="H77" i="4"/>
  <c r="I77" i="4"/>
  <c r="J77" i="4"/>
  <c r="K77" i="4"/>
  <c r="L77" i="4"/>
  <c r="M77" i="4"/>
  <c r="D35" i="4"/>
  <c r="E35" i="4"/>
  <c r="F35" i="4"/>
  <c r="G35" i="4"/>
  <c r="H35" i="4"/>
  <c r="I35" i="4"/>
  <c r="J35" i="4"/>
  <c r="K35" i="4"/>
  <c r="L35" i="4"/>
  <c r="M35" i="4"/>
  <c r="D50" i="4"/>
  <c r="E50" i="4"/>
  <c r="F50" i="4"/>
  <c r="G50" i="4"/>
  <c r="H50" i="4"/>
  <c r="I50" i="4"/>
  <c r="J50" i="4"/>
  <c r="K50" i="4"/>
  <c r="L50" i="4"/>
  <c r="M50" i="4"/>
  <c r="D63" i="4"/>
  <c r="E63" i="4"/>
  <c r="F63" i="4"/>
  <c r="G63" i="4"/>
  <c r="H63" i="4"/>
  <c r="I63" i="4"/>
  <c r="J63" i="4"/>
  <c r="K63" i="4"/>
  <c r="L63" i="4"/>
  <c r="M63" i="4"/>
  <c r="E4" i="13"/>
  <c r="K30" i="5" l="1"/>
  <c r="K32" i="5" s="1"/>
  <c r="I16" i="14" s="1"/>
  <c r="I9" i="14"/>
  <c r="I19" i="14"/>
  <c r="G35" i="8"/>
  <c r="G32" i="8"/>
  <c r="G16" i="8"/>
  <c r="G7" i="8"/>
  <c r="G6" i="8"/>
  <c r="G41" i="3" l="1"/>
  <c r="G39" i="3"/>
  <c r="G35" i="3"/>
  <c r="G31" i="3"/>
  <c r="G29" i="3"/>
  <c r="G27" i="3"/>
  <c r="G23" i="3"/>
  <c r="G21" i="3"/>
  <c r="G16" i="3"/>
  <c r="G15" i="3"/>
  <c r="G12" i="3"/>
  <c r="G11" i="3"/>
  <c r="G9" i="3"/>
  <c r="C74" i="17"/>
  <c r="C83" i="17" s="1"/>
  <c r="C37" i="17"/>
  <c r="C61" i="17" s="1"/>
  <c r="M42" i="18"/>
  <c r="L42" i="18"/>
  <c r="K42" i="18"/>
  <c r="J42" i="18"/>
  <c r="I42" i="18"/>
  <c r="H42" i="18"/>
  <c r="G42" i="18"/>
  <c r="F42" i="18"/>
  <c r="E42" i="18"/>
  <c r="D42" i="18"/>
  <c r="M29" i="18"/>
  <c r="L29" i="18"/>
  <c r="K29" i="18"/>
  <c r="J29" i="18"/>
  <c r="I29" i="18"/>
  <c r="H29" i="18"/>
  <c r="G29" i="18"/>
  <c r="F29" i="18"/>
  <c r="E29" i="18"/>
  <c r="D29" i="18"/>
  <c r="M11" i="18"/>
  <c r="M14" i="18" s="1"/>
  <c r="L11" i="18"/>
  <c r="L14" i="18" s="1"/>
  <c r="K11" i="18"/>
  <c r="K14" i="18" s="1"/>
  <c r="J11" i="18"/>
  <c r="J14" i="18" s="1"/>
  <c r="I11" i="18"/>
  <c r="I14" i="18" s="1"/>
  <c r="H11" i="18"/>
  <c r="H14" i="18" s="1"/>
  <c r="G11" i="18"/>
  <c r="G14" i="18" s="1"/>
  <c r="F11" i="18"/>
  <c r="F14" i="18" s="1"/>
  <c r="E11" i="18"/>
  <c r="E14" i="18" s="1"/>
  <c r="D11" i="18"/>
  <c r="D14" i="18" s="1"/>
  <c r="E83" i="4"/>
  <c r="F83" i="4"/>
  <c r="G83" i="4"/>
  <c r="H83" i="4"/>
  <c r="I83" i="4"/>
  <c r="J83" i="4"/>
  <c r="K83" i="4"/>
  <c r="L83" i="4"/>
  <c r="M83" i="4"/>
  <c r="C84" i="17" l="1"/>
  <c r="L43" i="18"/>
  <c r="L45" i="18" s="1"/>
  <c r="L47" i="18" s="1"/>
  <c r="M43" i="18"/>
  <c r="M45" i="18" s="1"/>
  <c r="M47" i="18" s="1"/>
  <c r="J43" i="18"/>
  <c r="J45" i="18" s="1"/>
  <c r="J47" i="18" s="1"/>
  <c r="I43" i="18"/>
  <c r="I45" i="18" s="1"/>
  <c r="I47" i="18" s="1"/>
  <c r="K43" i="18"/>
  <c r="K45" i="18" s="1"/>
  <c r="K47" i="18" s="1"/>
  <c r="H43" i="18"/>
  <c r="H45" i="18" s="1"/>
  <c r="H47" i="18" s="1"/>
  <c r="F43" i="18"/>
  <c r="F45" i="18" s="1"/>
  <c r="F47" i="18" s="1"/>
  <c r="E43" i="18"/>
  <c r="E45" i="18" s="1"/>
  <c r="E47" i="18" s="1"/>
  <c r="D43" i="18"/>
  <c r="D45" i="18" s="1"/>
  <c r="D47" i="18" s="1"/>
  <c r="C69" i="3" s="1"/>
  <c r="G43" i="18"/>
  <c r="G45" i="18" s="1"/>
  <c r="G47" i="18" s="1"/>
  <c r="I53" i="3"/>
  <c r="H53" i="3"/>
  <c r="G53" i="3"/>
  <c r="F53" i="3"/>
  <c r="E53" i="3"/>
  <c r="D53" i="3"/>
  <c r="J42" i="7"/>
  <c r="N42" i="7"/>
  <c r="M42" i="7" l="1"/>
  <c r="L42" i="7"/>
  <c r="K42" i="7"/>
  <c r="H42" i="7"/>
  <c r="F42" i="7"/>
  <c r="I42" i="7"/>
  <c r="G42" i="7"/>
  <c r="J17" i="8"/>
  <c r="K17" i="8" s="1"/>
  <c r="J19" i="8"/>
  <c r="K19" i="8" s="1"/>
  <c r="J20" i="8"/>
  <c r="K20" i="8" s="1"/>
  <c r="J21" i="8"/>
  <c r="K21" i="8" s="1"/>
  <c r="J10" i="8"/>
  <c r="K10" i="8" s="1"/>
  <c r="J11" i="8"/>
  <c r="K11" i="8" s="1"/>
  <c r="J12" i="8"/>
  <c r="K12" i="8" s="1"/>
  <c r="I8" i="8" l="1"/>
  <c r="H8" i="8"/>
  <c r="G8" i="8"/>
  <c r="F8" i="8"/>
  <c r="E8" i="8"/>
  <c r="D8" i="8"/>
  <c r="C8" i="8"/>
  <c r="I7" i="8"/>
  <c r="H7" i="8"/>
  <c r="F7" i="8"/>
  <c r="E7" i="8"/>
  <c r="D7" i="8"/>
  <c r="C7" i="8"/>
  <c r="I6" i="8"/>
  <c r="H6" i="8"/>
  <c r="F6" i="8"/>
  <c r="E6" i="8"/>
  <c r="D6" i="8"/>
  <c r="C6" i="8"/>
  <c r="J7" i="8" l="1"/>
  <c r="K7" i="8" s="1"/>
  <c r="J8" i="8"/>
  <c r="K8" i="8" s="1"/>
  <c r="J6" i="8"/>
  <c r="K6" i="8" s="1"/>
  <c r="I16" i="8"/>
  <c r="H16" i="8"/>
  <c r="F16" i="8"/>
  <c r="F15" i="8" s="1"/>
  <c r="E16" i="8"/>
  <c r="E15" i="8" s="1"/>
  <c r="D16" i="8"/>
  <c r="D15" i="8" s="1"/>
  <c r="C16" i="8"/>
  <c r="C15" i="8" s="1"/>
  <c r="C22" i="8" s="1"/>
  <c r="C11" i="3"/>
  <c r="I55" i="3"/>
  <c r="H55" i="3"/>
  <c r="G55" i="3"/>
  <c r="F55" i="3"/>
  <c r="E55" i="3"/>
  <c r="D55" i="3"/>
  <c r="C55" i="3"/>
  <c r="C53" i="3"/>
  <c r="C12" i="3"/>
  <c r="D12" i="3"/>
  <c r="E12" i="3"/>
  <c r="F12" i="3"/>
  <c r="H12" i="3"/>
  <c r="I12" i="3"/>
  <c r="C21" i="3"/>
  <c r="D21" i="3"/>
  <c r="E21" i="3"/>
  <c r="F21" i="3"/>
  <c r="G22" i="3" s="1"/>
  <c r="H21" i="3"/>
  <c r="I21" i="3"/>
  <c r="H22" i="3"/>
  <c r="C23" i="3"/>
  <c r="D23" i="3"/>
  <c r="E23" i="3"/>
  <c r="F23" i="3"/>
  <c r="H23" i="3"/>
  <c r="I23" i="3"/>
  <c r="E24" i="3"/>
  <c r="F24" i="3"/>
  <c r="G24" i="3"/>
  <c r="H24" i="3"/>
  <c r="I24" i="3"/>
  <c r="F25" i="3"/>
  <c r="G25" i="3"/>
  <c r="C27" i="3"/>
  <c r="D27" i="3"/>
  <c r="E27" i="3"/>
  <c r="F27" i="3"/>
  <c r="H27" i="3"/>
  <c r="H28" i="3" s="1"/>
  <c r="I27" i="3"/>
  <c r="I28" i="3" s="1"/>
  <c r="C29" i="3"/>
  <c r="D29" i="3"/>
  <c r="D30" i="3" s="1"/>
  <c r="E29" i="3"/>
  <c r="E30" i="3" s="1"/>
  <c r="F29" i="3"/>
  <c r="F30" i="3" s="1"/>
  <c r="H29" i="3"/>
  <c r="I29" i="3"/>
  <c r="C31" i="3"/>
  <c r="D31" i="3"/>
  <c r="E31" i="3"/>
  <c r="F31" i="3"/>
  <c r="H31" i="3"/>
  <c r="H32" i="3" s="1"/>
  <c r="I31" i="3"/>
  <c r="E32" i="3"/>
  <c r="F32" i="3"/>
  <c r="G32" i="3"/>
  <c r="I32" i="3" l="1"/>
  <c r="I30" i="3"/>
  <c r="H30" i="3"/>
  <c r="F33" i="3"/>
  <c r="F47" i="3" s="1"/>
  <c r="D33" i="3"/>
  <c r="G30" i="3"/>
  <c r="C33" i="3"/>
  <c r="E33" i="3"/>
  <c r="E34" i="3" s="1"/>
  <c r="C8" i="3"/>
  <c r="D36" i="4"/>
  <c r="E25" i="3"/>
  <c r="E47" i="3" s="1"/>
  <c r="E28" i="3"/>
  <c r="D25" i="3"/>
  <c r="D37" i="3" s="1"/>
  <c r="D22" i="3"/>
  <c r="C25" i="3"/>
  <c r="C37" i="3" s="1"/>
  <c r="F28" i="3"/>
  <c r="G28" i="3"/>
  <c r="F34" i="3"/>
  <c r="D83" i="4"/>
  <c r="D32" i="3"/>
  <c r="C35" i="3"/>
  <c r="E6" i="14"/>
  <c r="E10" i="14"/>
  <c r="E8" i="14"/>
  <c r="E7" i="14"/>
  <c r="D28" i="3"/>
  <c r="J16" i="8"/>
  <c r="K16" i="8" s="1"/>
  <c r="E9" i="14"/>
  <c r="D78" i="4"/>
  <c r="D79" i="4" s="1"/>
  <c r="I33" i="3"/>
  <c r="D24" i="3"/>
  <c r="H33" i="3"/>
  <c r="G33" i="3"/>
  <c r="I25" i="3"/>
  <c r="I47" i="3" s="1"/>
  <c r="H25" i="3"/>
  <c r="H26" i="3" s="1"/>
  <c r="H56" i="3"/>
  <c r="E56" i="3"/>
  <c r="I56" i="3"/>
  <c r="G56" i="3"/>
  <c r="D56" i="3"/>
  <c r="D57" i="3"/>
  <c r="E57" i="3"/>
  <c r="F56" i="3"/>
  <c r="F57" i="3"/>
  <c r="E20" i="13" s="1"/>
  <c r="G57" i="3"/>
  <c r="F20" i="13" s="1"/>
  <c r="I57" i="3"/>
  <c r="H20" i="13" s="1"/>
  <c r="H57" i="3"/>
  <c r="G20" i="13" s="1"/>
  <c r="F54" i="3"/>
  <c r="E54" i="3"/>
  <c r="D54" i="3"/>
  <c r="C57" i="3"/>
  <c r="I54" i="3"/>
  <c r="H54" i="3"/>
  <c r="G54" i="3"/>
  <c r="C16" i="3"/>
  <c r="I22" i="3"/>
  <c r="F22" i="3"/>
  <c r="G26" i="3"/>
  <c r="E22" i="3"/>
  <c r="C32" i="8"/>
  <c r="H47" i="3" l="1"/>
  <c r="D26" i="3"/>
  <c r="F37" i="3"/>
  <c r="C47" i="3"/>
  <c r="D47" i="3"/>
  <c r="G34" i="3"/>
  <c r="F26" i="3"/>
  <c r="E37" i="3"/>
  <c r="E38" i="3" s="1"/>
  <c r="E26" i="3"/>
  <c r="H37" i="3"/>
  <c r="I26" i="3"/>
  <c r="I37" i="3"/>
  <c r="F38" i="3"/>
  <c r="E20" i="14"/>
  <c r="I38" i="3"/>
  <c r="H34" i="3"/>
  <c r="I34" i="3"/>
  <c r="G37" i="3"/>
  <c r="G47" i="3"/>
  <c r="H58" i="3"/>
  <c r="F58" i="3"/>
  <c r="D58" i="3"/>
  <c r="G58" i="3"/>
  <c r="D38" i="3"/>
  <c r="D34" i="3"/>
  <c r="E16" i="14"/>
  <c r="C35" i="8"/>
  <c r="I58" i="3"/>
  <c r="E58" i="3"/>
  <c r="G38" i="3" l="1"/>
  <c r="H38" i="3"/>
  <c r="D63" i="17"/>
  <c r="D48" i="17"/>
  <c r="D61" i="17" l="1"/>
  <c r="D83" i="17"/>
  <c r="E13" i="13"/>
  <c r="H13" i="13"/>
  <c r="G13" i="13"/>
  <c r="D84" i="17" l="1"/>
  <c r="D87" i="17" s="1"/>
  <c r="C87" i="17"/>
  <c r="K14" i="12" l="1"/>
  <c r="K15" i="12"/>
  <c r="K16" i="12"/>
  <c r="K17" i="12"/>
  <c r="K13" i="12"/>
  <c r="J14" i="12"/>
  <c r="J15" i="12"/>
  <c r="J16" i="12"/>
  <c r="J17" i="12"/>
  <c r="J13" i="12"/>
  <c r="G18" i="12"/>
  <c r="H18" i="12"/>
  <c r="I18" i="12"/>
  <c r="C18" i="12"/>
  <c r="D58" i="8"/>
  <c r="E58" i="8"/>
  <c r="F58" i="8"/>
  <c r="G58" i="8"/>
  <c r="J58" i="8" s="1"/>
  <c r="K58" i="8" s="1"/>
  <c r="H58" i="8"/>
  <c r="I58" i="8"/>
  <c r="D51" i="8"/>
  <c r="E51" i="8"/>
  <c r="F51" i="8"/>
  <c r="G51" i="8"/>
  <c r="H51" i="8"/>
  <c r="I51" i="8"/>
  <c r="C51" i="8"/>
  <c r="D47" i="8"/>
  <c r="E47" i="8"/>
  <c r="F47" i="8"/>
  <c r="G47" i="8"/>
  <c r="H47" i="8"/>
  <c r="I47" i="8"/>
  <c r="C47" i="8"/>
  <c r="J48" i="8"/>
  <c r="K48" i="8" s="1"/>
  <c r="J49" i="8"/>
  <c r="K49" i="8" s="1"/>
  <c r="J50" i="8"/>
  <c r="K50" i="8" s="1"/>
  <c r="J52" i="8"/>
  <c r="K52" i="8" s="1"/>
  <c r="J53" i="8"/>
  <c r="K53" i="8" s="1"/>
  <c r="J54" i="8"/>
  <c r="K54" i="8" s="1"/>
  <c r="J56" i="8"/>
  <c r="K56" i="8" s="1"/>
  <c r="J57" i="8"/>
  <c r="K57" i="8" s="1"/>
  <c r="I26" i="8"/>
  <c r="H26" i="8"/>
  <c r="G26" i="8"/>
  <c r="E26" i="8"/>
  <c r="D26" i="8"/>
  <c r="C26" i="8"/>
  <c r="C55" i="8" l="1"/>
  <c r="C60" i="8" s="1"/>
  <c r="F26" i="8"/>
  <c r="J26" i="8" s="1"/>
  <c r="C5" i="8"/>
  <c r="C13" i="8" s="1"/>
  <c r="E55" i="8"/>
  <c r="H55" i="8"/>
  <c r="D55" i="8"/>
  <c r="G55" i="8"/>
  <c r="F55" i="8"/>
  <c r="I55" i="8"/>
  <c r="J51" i="8"/>
  <c r="K51" i="8" s="1"/>
  <c r="J55" i="8" l="1"/>
  <c r="K55" i="8" s="1"/>
  <c r="K20" i="13" l="1"/>
  <c r="J20" i="13"/>
  <c r="P20" i="13" s="1"/>
  <c r="L20" i="13"/>
  <c r="D11" i="3" l="1"/>
  <c r="F9" i="14"/>
  <c r="Q20" i="13"/>
  <c r="N20" i="13"/>
  <c r="S20" i="13" s="1"/>
  <c r="F12" i="11"/>
  <c r="T20" i="13" l="1"/>
  <c r="F19" i="13" l="1"/>
  <c r="G19" i="13"/>
  <c r="H19" i="13"/>
  <c r="E19" i="13"/>
  <c r="C5" i="9"/>
  <c r="E17" i="14" s="1"/>
  <c r="I60" i="8"/>
  <c r="I48" i="3" s="1"/>
  <c r="E60" i="8"/>
  <c r="E48" i="3" s="1"/>
  <c r="C48" i="3"/>
  <c r="H60" i="8"/>
  <c r="H48" i="3" s="1"/>
  <c r="D60" i="8"/>
  <c r="D48" i="3" s="1"/>
  <c r="G60" i="8"/>
  <c r="G48" i="3" s="1"/>
  <c r="C29" i="9"/>
  <c r="V12" i="11"/>
  <c r="F60" i="8"/>
  <c r="F48" i="3" s="1"/>
  <c r="J47" i="8"/>
  <c r="K47" i="8" s="1"/>
  <c r="D18" i="8"/>
  <c r="D22" i="8" s="1"/>
  <c r="E18" i="8"/>
  <c r="E22" i="8" s="1"/>
  <c r="F18" i="8"/>
  <c r="F22" i="8" s="1"/>
  <c r="G18" i="8"/>
  <c r="G22" i="8" s="1"/>
  <c r="I14" i="14" s="1"/>
  <c r="H18" i="8"/>
  <c r="I18" i="8"/>
  <c r="I22" i="8" s="1"/>
  <c r="D9" i="8"/>
  <c r="E9" i="8"/>
  <c r="F9" i="8"/>
  <c r="G9" i="8"/>
  <c r="H9" i="8"/>
  <c r="I9" i="8"/>
  <c r="C9" i="8"/>
  <c r="E18" i="12"/>
  <c r="F18" i="12"/>
  <c r="D18" i="12"/>
  <c r="L27" i="13"/>
  <c r="K27" i="13"/>
  <c r="J27" i="13"/>
  <c r="Q27" i="13" s="1"/>
  <c r="L26" i="13"/>
  <c r="K26" i="13"/>
  <c r="J26" i="13"/>
  <c r="D62" i="12"/>
  <c r="E62" i="12"/>
  <c r="F62" i="12"/>
  <c r="G62" i="12"/>
  <c r="H62" i="12"/>
  <c r="I62" i="12"/>
  <c r="C62" i="12"/>
  <c r="J58" i="12"/>
  <c r="K58" i="12" s="1"/>
  <c r="J59" i="12"/>
  <c r="K59" i="12" s="1"/>
  <c r="J60" i="12"/>
  <c r="K60" i="12" s="1"/>
  <c r="J61" i="12"/>
  <c r="K61" i="12" s="1"/>
  <c r="J57" i="12"/>
  <c r="K57" i="12" s="1"/>
  <c r="K9" i="13"/>
  <c r="L9" i="13"/>
  <c r="J9" i="13"/>
  <c r="K8" i="13"/>
  <c r="L8" i="13"/>
  <c r="J8" i="13"/>
  <c r="L7" i="13"/>
  <c r="K7" i="13"/>
  <c r="J7" i="13"/>
  <c r="D5" i="9"/>
  <c r="E5" i="9"/>
  <c r="F5" i="9"/>
  <c r="G5" i="9"/>
  <c r="I17" i="14" s="1"/>
  <c r="H5" i="9"/>
  <c r="I5" i="9"/>
  <c r="J23" i="12"/>
  <c r="K23" i="12" s="1"/>
  <c r="J30" i="12"/>
  <c r="K30" i="12" s="1"/>
  <c r="H4" i="13"/>
  <c r="G4" i="13"/>
  <c r="F4" i="13"/>
  <c r="J50" i="12"/>
  <c r="K50" i="12" s="1"/>
  <c r="J51" i="12"/>
  <c r="K51" i="12" s="1"/>
  <c r="J52" i="12"/>
  <c r="K52" i="12" s="1"/>
  <c r="J49" i="12"/>
  <c r="K49" i="12" s="1"/>
  <c r="D45" i="12"/>
  <c r="E45" i="12"/>
  <c r="F45" i="12"/>
  <c r="H45" i="12"/>
  <c r="I45" i="12"/>
  <c r="C45" i="12"/>
  <c r="J36" i="12"/>
  <c r="K36" i="12" s="1"/>
  <c r="J37" i="12"/>
  <c r="K37" i="12" s="1"/>
  <c r="J38" i="12"/>
  <c r="K38" i="12" s="1"/>
  <c r="J40" i="12"/>
  <c r="K40" i="12" s="1"/>
  <c r="J41" i="12"/>
  <c r="K41" i="12" s="1"/>
  <c r="J42" i="12"/>
  <c r="K42" i="12" s="1"/>
  <c r="J35" i="12"/>
  <c r="K35" i="12" s="1"/>
  <c r="D12" i="11"/>
  <c r="O6" i="11"/>
  <c r="U6" i="11" s="1"/>
  <c r="AA6" i="11" s="1"/>
  <c r="O7" i="11"/>
  <c r="U7" i="11" s="1"/>
  <c r="AA7" i="11" s="1"/>
  <c r="O8" i="11"/>
  <c r="U8" i="11" s="1"/>
  <c r="AA8" i="11" s="1"/>
  <c r="O9" i="11"/>
  <c r="U9" i="11" s="1"/>
  <c r="AA9" i="11" s="1"/>
  <c r="O10" i="11"/>
  <c r="U10" i="11" s="1"/>
  <c r="AA10" i="11" s="1"/>
  <c r="O11" i="11"/>
  <c r="U11" i="11" s="1"/>
  <c r="AA11" i="11" s="1"/>
  <c r="O5" i="11"/>
  <c r="U5" i="11" s="1"/>
  <c r="P12" i="11"/>
  <c r="R12" i="11"/>
  <c r="X12" i="11"/>
  <c r="E12" i="11"/>
  <c r="G12" i="11"/>
  <c r="H12" i="11"/>
  <c r="I12" i="11"/>
  <c r="L12" i="11"/>
  <c r="M12" i="11"/>
  <c r="C12" i="11"/>
  <c r="J33" i="9"/>
  <c r="K33" i="9" s="1"/>
  <c r="D32" i="9"/>
  <c r="E32" i="9"/>
  <c r="F32" i="9"/>
  <c r="G32" i="9"/>
  <c r="H32" i="9"/>
  <c r="I32" i="9"/>
  <c r="D31" i="9"/>
  <c r="E31" i="9"/>
  <c r="F31" i="9"/>
  <c r="G31" i="9"/>
  <c r="J31" i="9" s="1"/>
  <c r="K31" i="9" s="1"/>
  <c r="H31" i="9"/>
  <c r="I31" i="9"/>
  <c r="C31" i="9"/>
  <c r="D30" i="9"/>
  <c r="E30" i="9"/>
  <c r="F30" i="9"/>
  <c r="G30" i="9"/>
  <c r="J30" i="9" s="1"/>
  <c r="K30" i="9" s="1"/>
  <c r="H30" i="9"/>
  <c r="I30" i="9"/>
  <c r="C30" i="9"/>
  <c r="C35" i="9" s="1"/>
  <c r="D29" i="9"/>
  <c r="E29" i="9"/>
  <c r="F29" i="9"/>
  <c r="G29" i="9"/>
  <c r="H29" i="9"/>
  <c r="I29" i="9"/>
  <c r="J21" i="9"/>
  <c r="K21" i="9" s="1"/>
  <c r="J22" i="9"/>
  <c r="K22" i="9" s="1"/>
  <c r="J23" i="9"/>
  <c r="K23" i="9" s="1"/>
  <c r="J24" i="9"/>
  <c r="K24" i="9" s="1"/>
  <c r="J25" i="9"/>
  <c r="K25" i="9" s="1"/>
  <c r="J26" i="9"/>
  <c r="K26" i="9" s="1"/>
  <c r="J20" i="9"/>
  <c r="K20" i="9" s="1"/>
  <c r="J12" i="9"/>
  <c r="K12" i="9" s="1"/>
  <c r="J13" i="9"/>
  <c r="K13" i="9" s="1"/>
  <c r="J14" i="9"/>
  <c r="K14" i="9" s="1"/>
  <c r="J15" i="9"/>
  <c r="K15" i="9" s="1"/>
  <c r="J16" i="9"/>
  <c r="K16" i="9" s="1"/>
  <c r="J17" i="9"/>
  <c r="K17" i="9" s="1"/>
  <c r="J11" i="9"/>
  <c r="K11" i="9" s="1"/>
  <c r="D10" i="9"/>
  <c r="D44" i="9" s="1"/>
  <c r="E10" i="9"/>
  <c r="E44" i="9" s="1"/>
  <c r="F10" i="9"/>
  <c r="F44" i="9" s="1"/>
  <c r="G10" i="9"/>
  <c r="G44" i="9" s="1"/>
  <c r="H10" i="9"/>
  <c r="H44" i="9" s="1"/>
  <c r="I10" i="9"/>
  <c r="I44" i="9" s="1"/>
  <c r="C10" i="9"/>
  <c r="C44" i="9" s="1"/>
  <c r="J7" i="9"/>
  <c r="K7" i="9" s="1"/>
  <c r="J8" i="9"/>
  <c r="K8" i="9" s="1"/>
  <c r="J6" i="9"/>
  <c r="K6" i="9" s="1"/>
  <c r="I15" i="8"/>
  <c r="G11" i="13"/>
  <c r="G15" i="8"/>
  <c r="E11" i="13"/>
  <c r="H35" i="5"/>
  <c r="I35" i="5"/>
  <c r="J35" i="5"/>
  <c r="K35" i="5"/>
  <c r="L23" i="5"/>
  <c r="M23" i="5"/>
  <c r="D15" i="3"/>
  <c r="E15" i="3"/>
  <c r="F15" i="3"/>
  <c r="H15" i="3"/>
  <c r="I15" i="3"/>
  <c r="C15" i="3"/>
  <c r="D9" i="3"/>
  <c r="E9" i="3"/>
  <c r="F9" i="3"/>
  <c r="H9" i="3"/>
  <c r="I9" i="3"/>
  <c r="E21" i="4"/>
  <c r="F21" i="4"/>
  <c r="G21" i="4"/>
  <c r="H21" i="4"/>
  <c r="H36" i="4" s="1"/>
  <c r="I21" i="4"/>
  <c r="I36" i="4" s="1"/>
  <c r="J21" i="4"/>
  <c r="J36" i="4" s="1"/>
  <c r="K21" i="4"/>
  <c r="L21" i="4"/>
  <c r="M21" i="4"/>
  <c r="J18" i="8" l="1"/>
  <c r="K18" i="8" s="1"/>
  <c r="C40" i="9"/>
  <c r="C39" i="9"/>
  <c r="C38" i="9"/>
  <c r="G8" i="3"/>
  <c r="K36" i="4"/>
  <c r="D8" i="3"/>
  <c r="E36" i="4"/>
  <c r="F8" i="3"/>
  <c r="G36" i="4"/>
  <c r="E8" i="3"/>
  <c r="F36" i="4"/>
  <c r="H8" i="3"/>
  <c r="L36" i="4"/>
  <c r="I8" i="3"/>
  <c r="M36" i="4"/>
  <c r="E35" i="9"/>
  <c r="J9" i="14"/>
  <c r="H11" i="3"/>
  <c r="J10" i="14"/>
  <c r="J8" i="14"/>
  <c r="J6" i="14"/>
  <c r="J7" i="14"/>
  <c r="F11" i="3"/>
  <c r="H9" i="14"/>
  <c r="E11" i="3"/>
  <c r="G9" i="14"/>
  <c r="H10" i="14"/>
  <c r="H8" i="14"/>
  <c r="H7" i="14"/>
  <c r="H6" i="14"/>
  <c r="G6" i="14"/>
  <c r="G10" i="14"/>
  <c r="G8" i="14"/>
  <c r="G7" i="14"/>
  <c r="H35" i="9"/>
  <c r="K10" i="14"/>
  <c r="K8" i="14"/>
  <c r="K7" i="14"/>
  <c r="K6" i="14"/>
  <c r="F6" i="14"/>
  <c r="F10" i="14"/>
  <c r="F7" i="14"/>
  <c r="F8" i="14"/>
  <c r="K9" i="14"/>
  <c r="I11" i="3"/>
  <c r="E16" i="3"/>
  <c r="G19" i="14"/>
  <c r="F19" i="14"/>
  <c r="D16" i="3"/>
  <c r="I16" i="3"/>
  <c r="K19" i="14"/>
  <c r="J19" i="14"/>
  <c r="H16" i="3"/>
  <c r="H19" i="14"/>
  <c r="F16" i="3"/>
  <c r="J9" i="8"/>
  <c r="K9" i="8" s="1"/>
  <c r="J29" i="9"/>
  <c r="K29" i="9" s="1"/>
  <c r="J10" i="9"/>
  <c r="K10" i="9" s="1"/>
  <c r="C9" i="3"/>
  <c r="E19" i="14"/>
  <c r="I32" i="8"/>
  <c r="I35" i="3"/>
  <c r="H32" i="8"/>
  <c r="H35" i="3"/>
  <c r="I36" i="3" s="1"/>
  <c r="H36" i="3"/>
  <c r="F32" i="8"/>
  <c r="F35" i="3"/>
  <c r="G36" i="3" s="1"/>
  <c r="E32" i="8"/>
  <c r="E33" i="8" s="1"/>
  <c r="G14" i="14"/>
  <c r="E35" i="3"/>
  <c r="F36" i="3" s="1"/>
  <c r="D32" i="8"/>
  <c r="D35" i="3"/>
  <c r="K19" i="13"/>
  <c r="Q26" i="13"/>
  <c r="P26" i="13"/>
  <c r="F35" i="9"/>
  <c r="F39" i="9" s="1"/>
  <c r="I35" i="9"/>
  <c r="I39" i="9" s="1"/>
  <c r="J5" i="9"/>
  <c r="K5" i="9" s="1"/>
  <c r="N27" i="13"/>
  <c r="P27" i="13"/>
  <c r="N26" i="13"/>
  <c r="J62" i="12"/>
  <c r="K62" i="12" s="1"/>
  <c r="J18" i="12"/>
  <c r="K18" i="12"/>
  <c r="O12" i="11"/>
  <c r="U12" i="11"/>
  <c r="AA5" i="11"/>
  <c r="AA12" i="11" s="1"/>
  <c r="J32" i="9"/>
  <c r="K32" i="9" s="1"/>
  <c r="D35" i="9"/>
  <c r="G35" i="9"/>
  <c r="G39" i="9" s="1"/>
  <c r="M78" i="4"/>
  <c r="F78" i="4"/>
  <c r="L26" i="5"/>
  <c r="M26" i="5"/>
  <c r="I78" i="4"/>
  <c r="I79" i="4" s="1"/>
  <c r="E78" i="4"/>
  <c r="L78" i="4"/>
  <c r="C6" i="12"/>
  <c r="L19" i="13"/>
  <c r="J19" i="13"/>
  <c r="Q19" i="13" s="1"/>
  <c r="C39" i="3"/>
  <c r="F11" i="13"/>
  <c r="K11" i="13" s="1"/>
  <c r="C24" i="8"/>
  <c r="G5" i="8"/>
  <c r="H11" i="13"/>
  <c r="N11" i="13" s="1"/>
  <c r="T11" i="13" s="1"/>
  <c r="H5" i="8"/>
  <c r="E5" i="8"/>
  <c r="F5" i="8"/>
  <c r="I5" i="8"/>
  <c r="D5" i="8"/>
  <c r="K14" i="14"/>
  <c r="H15" i="8"/>
  <c r="H22" i="8" s="1"/>
  <c r="H78" i="4"/>
  <c r="H79" i="4" s="1"/>
  <c r="J78" i="4"/>
  <c r="J79" i="4" s="1"/>
  <c r="K78" i="4"/>
  <c r="G78" i="4"/>
  <c r="F14" i="14"/>
  <c r="J15" i="8"/>
  <c r="K15" i="8" s="1"/>
  <c r="J43" i="12"/>
  <c r="K43" i="12" s="1"/>
  <c r="J60" i="8"/>
  <c r="K60" i="8" s="1"/>
  <c r="C14" i="3"/>
  <c r="G7" i="3" l="1"/>
  <c r="I15" i="14"/>
  <c r="F16" i="13" s="1"/>
  <c r="I18" i="14"/>
  <c r="I20" i="14"/>
  <c r="I11" i="14"/>
  <c r="E5" i="14"/>
  <c r="K79" i="4"/>
  <c r="K81" i="4" s="1"/>
  <c r="G14" i="3"/>
  <c r="H39" i="9"/>
  <c r="H38" i="9"/>
  <c r="E40" i="9"/>
  <c r="E39" i="9"/>
  <c r="H40" i="9"/>
  <c r="G33" i="8"/>
  <c r="J32" i="8"/>
  <c r="K32" i="8"/>
  <c r="E38" i="9"/>
  <c r="H12" i="13"/>
  <c r="H25" i="13"/>
  <c r="J5" i="8"/>
  <c r="K5" i="8" s="1"/>
  <c r="I40" i="9"/>
  <c r="F12" i="13"/>
  <c r="F25" i="13"/>
  <c r="K18" i="14"/>
  <c r="I7" i="12"/>
  <c r="I7" i="3"/>
  <c r="I6" i="12"/>
  <c r="G6" i="12"/>
  <c r="G7" i="12"/>
  <c r="G18" i="14"/>
  <c r="E7" i="3"/>
  <c r="E6" i="12"/>
  <c r="E7" i="12"/>
  <c r="D6" i="12"/>
  <c r="D7" i="12"/>
  <c r="F18" i="14"/>
  <c r="D7" i="3"/>
  <c r="H6" i="12"/>
  <c r="J18" i="14"/>
  <c r="H7" i="3"/>
  <c r="H7" i="12"/>
  <c r="H15" i="14"/>
  <c r="E16" i="13" s="1"/>
  <c r="F7" i="12"/>
  <c r="H18" i="14"/>
  <c r="F7" i="3"/>
  <c r="F6" i="12"/>
  <c r="E14" i="3"/>
  <c r="G20" i="14"/>
  <c r="G11" i="14"/>
  <c r="F11" i="14"/>
  <c r="D14" i="3"/>
  <c r="F20" i="14"/>
  <c r="K20" i="14"/>
  <c r="K11" i="14"/>
  <c r="I14" i="3"/>
  <c r="H14" i="3"/>
  <c r="J20" i="14"/>
  <c r="J11" i="14"/>
  <c r="H11" i="14"/>
  <c r="H20" i="14"/>
  <c r="F14" i="3"/>
  <c r="F40" i="9"/>
  <c r="F38" i="9"/>
  <c r="C7" i="3"/>
  <c r="E18" i="14"/>
  <c r="E11" i="14"/>
  <c r="C7" i="12"/>
  <c r="D81" i="4"/>
  <c r="E15" i="14"/>
  <c r="I39" i="3"/>
  <c r="K15" i="14"/>
  <c r="H16" i="13" s="1"/>
  <c r="K17" i="14"/>
  <c r="H17" i="13" s="1"/>
  <c r="I35" i="8"/>
  <c r="I36" i="8" s="1"/>
  <c r="I33" i="8"/>
  <c r="J17" i="14"/>
  <c r="G17" i="13" s="1"/>
  <c r="J15" i="14"/>
  <c r="G16" i="13" s="1"/>
  <c r="H35" i="8"/>
  <c r="H39" i="3"/>
  <c r="I40" i="3" s="1"/>
  <c r="F17" i="13"/>
  <c r="F35" i="8"/>
  <c r="F39" i="3"/>
  <c r="H17" i="14"/>
  <c r="E17" i="13" s="1"/>
  <c r="E35" i="8"/>
  <c r="E36" i="8" s="1"/>
  <c r="G15" i="14"/>
  <c r="E39" i="3"/>
  <c r="G17" i="14"/>
  <c r="F17" i="14"/>
  <c r="F15" i="14"/>
  <c r="D39" i="3"/>
  <c r="D40" i="3" s="1"/>
  <c r="D35" i="8"/>
  <c r="D36" i="8" s="1"/>
  <c r="E36" i="3"/>
  <c r="D36" i="3"/>
  <c r="D33" i="8"/>
  <c r="E14" i="14"/>
  <c r="C33" i="8"/>
  <c r="C36" i="8"/>
  <c r="J81" i="4"/>
  <c r="I38" i="9"/>
  <c r="J13" i="13"/>
  <c r="P13" i="13" s="1"/>
  <c r="T27" i="13"/>
  <c r="S27" i="13"/>
  <c r="T26" i="13"/>
  <c r="S26" i="13"/>
  <c r="F79" i="4"/>
  <c r="F81" i="4" s="1"/>
  <c r="L79" i="4"/>
  <c r="L81" i="4" s="1"/>
  <c r="I13" i="8"/>
  <c r="L30" i="5"/>
  <c r="L32" i="5" s="1"/>
  <c r="D13" i="8"/>
  <c r="E13" i="8"/>
  <c r="N19" i="13"/>
  <c r="T19" i="13" s="1"/>
  <c r="D40" i="9"/>
  <c r="D39" i="9"/>
  <c r="D38" i="9"/>
  <c r="J35" i="9"/>
  <c r="K35" i="9" s="1"/>
  <c r="J39" i="9"/>
  <c r="G40" i="9"/>
  <c r="G38" i="9"/>
  <c r="G35" i="5"/>
  <c r="C70" i="3"/>
  <c r="M79" i="4"/>
  <c r="M81" i="4" s="1"/>
  <c r="G13" i="8"/>
  <c r="I5" i="14" s="1"/>
  <c r="E79" i="4"/>
  <c r="E81" i="4" s="1"/>
  <c r="M30" i="5"/>
  <c r="M32" i="5" s="1"/>
  <c r="K13" i="13"/>
  <c r="I81" i="4"/>
  <c r="H81" i="4"/>
  <c r="P19" i="13"/>
  <c r="C41" i="3"/>
  <c r="H13" i="8"/>
  <c r="C29" i="8"/>
  <c r="C30" i="8" s="1"/>
  <c r="F13" i="8"/>
  <c r="J11" i="13"/>
  <c r="L11" i="13"/>
  <c r="G25" i="13"/>
  <c r="G79" i="4"/>
  <c r="G81" i="4" s="1"/>
  <c r="E25" i="13"/>
  <c r="S11" i="13"/>
  <c r="F40" i="3" l="1"/>
  <c r="J40" i="9"/>
  <c r="J38" i="9"/>
  <c r="J13" i="8"/>
  <c r="K13" i="8" s="1"/>
  <c r="G36" i="8"/>
  <c r="K35" i="8"/>
  <c r="J35" i="8"/>
  <c r="J22" i="8"/>
  <c r="K22" i="8" s="1"/>
  <c r="F33" i="8"/>
  <c r="I24" i="8"/>
  <c r="H23" i="13"/>
  <c r="K5" i="14"/>
  <c r="G23" i="13"/>
  <c r="G24" i="13" s="1"/>
  <c r="J5" i="14"/>
  <c r="F23" i="13"/>
  <c r="F24" i="13" s="1"/>
  <c r="E23" i="13"/>
  <c r="E24" i="13" s="1"/>
  <c r="H5" i="14"/>
  <c r="E24" i="8"/>
  <c r="G5" i="14"/>
  <c r="D29" i="8"/>
  <c r="D30" i="8" s="1"/>
  <c r="F5" i="14"/>
  <c r="G40" i="3"/>
  <c r="E40" i="3"/>
  <c r="H15" i="13"/>
  <c r="K16" i="14"/>
  <c r="H18" i="13" s="1"/>
  <c r="I41" i="3"/>
  <c r="G15" i="13"/>
  <c r="J16" i="14"/>
  <c r="G18" i="13" s="1"/>
  <c r="H41" i="3"/>
  <c r="H42" i="3" s="1"/>
  <c r="H40" i="3"/>
  <c r="H36" i="8"/>
  <c r="G12" i="13"/>
  <c r="K12" i="13" s="1"/>
  <c r="J14" i="14"/>
  <c r="H33" i="8"/>
  <c r="F15" i="13"/>
  <c r="F18" i="13"/>
  <c r="F36" i="8"/>
  <c r="E12" i="13"/>
  <c r="J12" i="13" s="1"/>
  <c r="H14" i="14"/>
  <c r="E15" i="13"/>
  <c r="H16" i="14"/>
  <c r="E18" i="13" s="1"/>
  <c r="F41" i="3"/>
  <c r="G42" i="3" s="1"/>
  <c r="G16" i="14"/>
  <c r="E41" i="3"/>
  <c r="D41" i="3"/>
  <c r="F16" i="14"/>
  <c r="D24" i="8"/>
  <c r="J16" i="13"/>
  <c r="P16" i="13" s="1"/>
  <c r="Q13" i="13"/>
  <c r="F35" i="5"/>
  <c r="I29" i="8"/>
  <c r="I30" i="8" s="1"/>
  <c r="J25" i="13"/>
  <c r="K25" i="13"/>
  <c r="H24" i="13"/>
  <c r="K17" i="13"/>
  <c r="J17" i="13"/>
  <c r="Q17" i="13" s="1"/>
  <c r="E29" i="8"/>
  <c r="E30" i="8" s="1"/>
  <c r="L35" i="5"/>
  <c r="G29" i="8"/>
  <c r="G30" i="8" s="1"/>
  <c r="G24" i="8"/>
  <c r="S19" i="13"/>
  <c r="L17" i="13"/>
  <c r="L13" i="13"/>
  <c r="N13" i="13" s="1"/>
  <c r="T13" i="13" s="1"/>
  <c r="E35" i="5"/>
  <c r="M35" i="5"/>
  <c r="D35" i="5"/>
  <c r="Q11" i="13"/>
  <c r="P11" i="13"/>
  <c r="H24" i="8"/>
  <c r="H29" i="8"/>
  <c r="H30" i="8" s="1"/>
  <c r="F29" i="8"/>
  <c r="F24" i="8"/>
  <c r="K16" i="13"/>
  <c r="L16" i="13"/>
  <c r="C68" i="3"/>
  <c r="K18" i="13" l="1"/>
  <c r="J29" i="8"/>
  <c r="K29" i="8" s="1"/>
  <c r="N23" i="13"/>
  <c r="F42" i="3"/>
  <c r="L18" i="13"/>
  <c r="J18" i="13"/>
  <c r="Q18" i="13" s="1"/>
  <c r="F30" i="8"/>
  <c r="E42" i="3"/>
  <c r="H14" i="13"/>
  <c r="L23" i="13"/>
  <c r="J24" i="13"/>
  <c r="P24" i="13" s="1"/>
  <c r="Q16" i="13"/>
  <c r="L25" i="13"/>
  <c r="N25" i="13" s="1"/>
  <c r="T25" i="13" s="1"/>
  <c r="J24" i="8"/>
  <c r="K23" i="13"/>
  <c r="I42" i="3"/>
  <c r="Q12" i="13"/>
  <c r="P12" i="13"/>
  <c r="K24" i="13"/>
  <c r="L24" i="13"/>
  <c r="L15" i="13"/>
  <c r="J23" i="13"/>
  <c r="J15" i="13"/>
  <c r="K15" i="13"/>
  <c r="F14" i="13"/>
  <c r="P25" i="13"/>
  <c r="Q25" i="13"/>
  <c r="P17" i="13"/>
  <c r="N17" i="13"/>
  <c r="S17" i="13" s="1"/>
  <c r="S13" i="13"/>
  <c r="D42" i="3"/>
  <c r="C67" i="3"/>
  <c r="G14" i="13"/>
  <c r="L12" i="13"/>
  <c r="N12" i="13"/>
  <c r="E14" i="13"/>
  <c r="N16" i="13"/>
  <c r="T23" i="13" l="1"/>
  <c r="P18" i="13"/>
  <c r="N18" i="13"/>
  <c r="T18" i="13" s="1"/>
  <c r="S23" i="13"/>
  <c r="L14" i="13"/>
  <c r="S25" i="13"/>
  <c r="K14" i="13"/>
  <c r="J14" i="13"/>
  <c r="Q14" i="13" s="1"/>
  <c r="Q24" i="13"/>
  <c r="P23" i="13"/>
  <c r="Q23" i="13"/>
  <c r="N24" i="13"/>
  <c r="Q15" i="13"/>
  <c r="P15" i="13"/>
  <c r="N15" i="13"/>
  <c r="T17" i="13"/>
  <c r="T12" i="13"/>
  <c r="S12" i="13"/>
  <c r="T16" i="13"/>
  <c r="S16" i="13"/>
  <c r="S18" i="13" l="1"/>
  <c r="P14" i="13"/>
  <c r="N14" i="13"/>
  <c r="T14" i="13" s="1"/>
  <c r="T24" i="13"/>
  <c r="S24" i="13"/>
  <c r="T15" i="13"/>
  <c r="S15" i="13"/>
  <c r="S14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Joana Isabel C. Macedo</author>
  </authors>
  <commentList>
    <comment ref="A8" authorId="0" shapeId="0" xr:uid="{D10F9FD9-FB80-4BA2-A893-13BD04F6AFEB}">
      <text>
        <r>
          <rPr>
            <b/>
            <sz val="9"/>
            <color indexed="81"/>
            <rFont val="Tahoma"/>
            <family val="2"/>
          </rPr>
          <t xml:space="preserve">
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9" authorId="0" shapeId="0" xr:uid="{8A5C4408-7453-4A03-891F-8B7BE53CB851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0" authorId="0" shapeId="0" xr:uid="{309FFDFB-8242-420F-8D54-4405843778BD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1" authorId="0" shapeId="0" xr:uid="{2AB3E44A-9E36-4133-9600-8BDE62CB0791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4" authorId="0" shapeId="0" xr:uid="{C6169E37-D1A1-43C7-BC97-BC1B59451FF4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5" authorId="0" shapeId="0" xr:uid="{D4F41481-3FF7-4F86-9C73-FDCF2C2C536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6" authorId="0" shapeId="0" xr:uid="{1B60A528-D635-41FE-BD77-1D153E2E756A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17" authorId="0" shapeId="0" xr:uid="{9CB9F90A-CEBE-4FBE-88BA-D5AE79731526}">
      <text>
        <r>
          <rPr>
            <b/>
            <sz val="9"/>
            <color indexed="81"/>
            <rFont val="Tahoma"/>
            <family val="2"/>
          </rPr>
          <t xml:space="preserve">
Informação
</t>
        </r>
        <r>
          <rPr>
            <sz val="9"/>
            <color indexed="81"/>
            <rFont val="Tahoma"/>
            <family val="2"/>
          </rPr>
          <t>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0" authorId="0" shapeId="0" xr:uid="{09DC4779-8640-4C05-AAEE-E8DF5FB57C1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1" authorId="0" shapeId="0" xr:uid="{4D35C464-1016-4B30-92CF-90BF6075C53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2" authorId="0" shapeId="0" xr:uid="{D690A92A-8256-4671-91ED-8173EDA0D68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3" authorId="0" shapeId="0" xr:uid="{A3A2DC70-85A3-4042-B783-D9094707A859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6" authorId="0" shapeId="0" xr:uid="{7C0CEF4E-78CA-4F94-A476-C3FA9FEB1A68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7" authorId="0" shapeId="0" xr:uid="{805E0C35-D723-4661-B5CC-4161F8ECACF9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8" authorId="0" shapeId="0" xr:uid="{8CA2C5FC-720E-4AAF-B2EF-B929AEC9AA0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29" authorId="0" shapeId="0" xr:uid="{09C7F81F-2233-48F0-9A33-D7165E97E977}">
      <text>
        <r>
          <rPr>
            <b/>
            <sz val="9"/>
            <color indexed="81"/>
            <rFont val="Tahoma"/>
            <family val="2"/>
          </rPr>
          <t xml:space="preserve">
Informação
</t>
        </r>
        <r>
          <rPr>
            <sz val="9"/>
            <color indexed="81"/>
            <rFont val="Tahoma"/>
            <family val="2"/>
          </rPr>
          <t>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32" authorId="0" shapeId="0" xr:uid="{92C3761C-DD0B-43BB-9638-90F4B9A28B0A}">
      <text>
        <r>
          <rPr>
            <b/>
            <sz val="9"/>
            <color indexed="81"/>
            <rFont val="Tahoma"/>
            <family val="2"/>
          </rPr>
          <t xml:space="preserve">
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33" authorId="0" shapeId="0" xr:uid="{E9DDA650-C780-4A9F-8AD2-672DF9E8DAEE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34" authorId="0" shapeId="0" xr:uid="{2889313E-4572-434A-9DC2-50EA3E80055B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A35" authorId="0" shapeId="0" xr:uid="{FF25988B-AF42-4FAF-8D4E-1EFB04972F1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Deve escolher a letra "I" caso seja uma linha de Investimento e a letra "F" caso seja uma linha de financiamento.
Alerta-se para o facto de que a escolha da letra influencia as fórmulas que totalizam o total de investimentos e o total de financiamentos.</t>
        </r>
      </text>
    </comment>
    <comment ref="B49" authorId="0" shapeId="0" xr:uid="{D0B308D8-7F11-48CF-8E8B-06439D9E5E50}">
      <text>
        <r>
          <rPr>
            <b/>
            <sz val="8"/>
            <color indexed="81"/>
            <rFont val="Verdana"/>
            <family val="2"/>
          </rPr>
          <t xml:space="preserve">Informação:
</t>
        </r>
        <r>
          <rPr>
            <sz val="8"/>
            <color indexed="81"/>
            <rFont val="Verdana"/>
            <family val="2"/>
          </rPr>
          <t>São considerados novos investimentos com expressão material os que não figuram no plano de investimentos do ano anterior e cuja despesa prevista para qualquer ano do triénio seja igual ou superior a 12,9 milhões de euros, ou o resultante da aplicação de 10% do orçamento anual da empresa, consoante o limite que se revele inferior.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Joana Isabel C. Macedo</author>
  </authors>
  <commentList>
    <comment ref="R11" authorId="0" shapeId="0" xr:uid="{4090641A-0FA8-46EF-A093-126A1E9CBAE7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11" authorId="0" shapeId="0" xr:uid="{0A7A5B94-D8F7-4219-BF33-67252E45BE92}">
      <text>
        <r>
          <rPr>
            <b/>
            <sz val="9"/>
            <color indexed="81"/>
            <rFont val="Tahoma"/>
            <family val="2"/>
          </rPr>
          <t xml:space="preserve">Informação
</t>
        </r>
        <r>
          <rPr>
            <sz val="9"/>
            <color indexed="81"/>
            <rFont val="Tahoma"/>
            <family val="2"/>
          </rPr>
          <t>Se não for aplicável escrever nesta célula N/A</t>
        </r>
      </text>
    </comment>
    <comment ref="R12" authorId="0" shapeId="0" xr:uid="{AF74D13C-4949-4CA9-8412-81487B21757A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12" authorId="0" shapeId="0" xr:uid="{6B728498-9239-4F69-9A30-31199463D64E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3" authorId="0" shapeId="0" xr:uid="{390C4962-551C-4E8C-B922-427C190686A0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3" authorId="0" shapeId="0" xr:uid="{AE50609A-F02B-4E6B-A600-8F53F621B9EC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4" authorId="0" shapeId="0" xr:uid="{B27E24FD-B92A-4C8D-A308-39A3E565C5D2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U14" authorId="0" shapeId="0" xr:uid="{E05C3F4C-9F73-42C8-83F8-2229677E877D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5" authorId="0" shapeId="0" xr:uid="{F5B2E19D-D97F-485C-AA2C-5EE9618255D3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5" authorId="0" shapeId="0" xr:uid="{6D62E75C-B658-4A1E-ABA0-C9DE5312DBAE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6" authorId="0" shapeId="0" xr:uid="{7E67691D-2810-49FE-AC09-A3C4401DD5C1}">
      <text>
        <r>
          <rPr>
            <b/>
            <sz val="9"/>
            <color indexed="81"/>
            <rFont val="Tahoma"/>
            <family val="2"/>
          </rPr>
          <t xml:space="preserve">
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6" authorId="0" shapeId="0" xr:uid="{37141B1F-BE9A-4921-9305-CDD465D1130B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7" authorId="0" shapeId="0" xr:uid="{049F7AA8-5B8A-430F-8BF4-12398C81E0FD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7" authorId="0" shapeId="0" xr:uid="{74EBC692-3C60-4415-A387-694F9B1A3780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18" authorId="0" shapeId="0" xr:uid="{712EBE17-1892-4470-A41B-A2DABE4A8DBB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8" authorId="0" shapeId="0" xr:uid="{155E3F84-A54D-457F-892A-69F2A63B1939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R19" authorId="0" shapeId="0" xr:uid="{EE29389D-838F-422E-9C01-DC0CBD3A1ACE}">
      <text>
        <r>
          <rPr>
            <b/>
            <sz val="9"/>
            <color indexed="81"/>
            <rFont val="Tahoma"/>
            <family val="2"/>
          </rPr>
          <t xml:space="preserve">
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</text>
    </comment>
    <comment ref="U19" authorId="0" shapeId="0" xr:uid="{E1B3342C-64BF-4DC4-8D55-8B478652B403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0" authorId="0" shapeId="0" xr:uid="{9F1CEB4F-8279-494A-9130-8EC2BB9BC3D6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U20" authorId="0" shapeId="0" xr:uid="{683C9D4C-0D77-473E-B627-117E2E22AD2C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3" authorId="0" shapeId="0" xr:uid="{6D39D41A-0124-4EA3-9C80-3E0E3EE55FDF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23" authorId="0" shapeId="0" xr:uid="{AAE7C4D6-A740-4E38-AA3E-44AFB1F8F9BC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4" authorId="0" shapeId="0" xr:uid="{E4CD7C54-FA6C-4F86-BB99-29BC05C99CA9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24" authorId="0" shapeId="0" xr:uid="{E56FCF7E-51E8-4994-AE9B-63AC788DE754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5" authorId="0" shapeId="0" xr:uid="{2584EDF9-8BC6-4380-84F1-3B6D6F64DB12}">
      <text>
        <r>
          <rPr>
            <b/>
            <sz val="9"/>
            <color indexed="81"/>
            <rFont val="Tahoma"/>
            <family val="2"/>
          </rPr>
          <t xml:space="preserve">Informação
</t>
        </r>
        <r>
          <rPr>
            <sz val="9"/>
            <color indexed="81"/>
            <rFont val="Tahoma"/>
            <family val="2"/>
          </rPr>
          <t>Se não for aplicável escrever nesta célula N/A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U25" authorId="0" shapeId="0" xr:uid="{42110736-4A92-4989-BC72-3F5627F2D113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6" authorId="0" shapeId="0" xr:uid="{3AF6A79D-6EB9-495F-840A-9074633F2C69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26" authorId="0" shapeId="0" xr:uid="{DE694A4E-4883-48A3-AFCA-67ED30AA852D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R27" authorId="0" shapeId="0" xr:uid="{A00D5996-8E5F-4FB2-8EC2-AB2E5610C76F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  <comment ref="U27" authorId="0" shapeId="0" xr:uid="{6353AC7C-47C2-4D9E-BE02-C5855E2823C2}">
      <text>
        <r>
          <rPr>
            <b/>
            <sz val="9"/>
            <color indexed="81"/>
            <rFont val="Tahoma"/>
            <family val="2"/>
          </rPr>
          <t>Informação</t>
        </r>
        <r>
          <rPr>
            <sz val="9"/>
            <color indexed="81"/>
            <rFont val="Tahoma"/>
            <family val="2"/>
          </rPr>
          <t xml:space="preserve">
Se não for aplicável escrever nesta célula N/A
</t>
        </r>
      </text>
    </comment>
  </commentList>
</comments>
</file>

<file path=xl/sharedStrings.xml><?xml version="1.0" encoding="utf-8"?>
<sst xmlns="http://schemas.openxmlformats.org/spreadsheetml/2006/main" count="911" uniqueCount="507">
  <si>
    <t>Estrutura do Ficheiro</t>
  </si>
  <si>
    <t>Instruções</t>
  </si>
  <si>
    <t>Resumo</t>
  </si>
  <si>
    <t>Balanço</t>
  </si>
  <si>
    <t>Demonstração de Resultados</t>
  </si>
  <si>
    <t>Demonstração de Fluxos de Caixa</t>
  </si>
  <si>
    <t>Plano de investimentos</t>
  </si>
  <si>
    <t>Eficiência operacional</t>
  </si>
  <si>
    <t>INSTRUÇÕES:</t>
  </si>
  <si>
    <t>1. Parâmetros: Preencher descrição da Empresa</t>
  </si>
  <si>
    <t>Ano 0</t>
  </si>
  <si>
    <t>Plano de atividade e orçamento (PAO)</t>
  </si>
  <si>
    <t>2. Pressupostos Macroeconómicos:</t>
  </si>
  <si>
    <t>%</t>
  </si>
  <si>
    <t>PIB nominal</t>
  </si>
  <si>
    <t>PIB e componentes da despesa em termos reais*</t>
  </si>
  <si>
    <t>Evoluções dos Preços</t>
  </si>
  <si>
    <t>Notas:</t>
  </si>
  <si>
    <t>APOIO:</t>
  </si>
  <si>
    <t>Demonstrações financeiras</t>
  </si>
  <si>
    <t xml:space="preserve">Unid: </t>
  </si>
  <si>
    <t>Ativo (total)</t>
  </si>
  <si>
    <t>corrente</t>
  </si>
  <si>
    <t>Passivo (total)</t>
  </si>
  <si>
    <t>Demonstração de resultados</t>
  </si>
  <si>
    <t>% de crescimento</t>
  </si>
  <si>
    <t>EBITDA</t>
  </si>
  <si>
    <t>EBIT</t>
  </si>
  <si>
    <t>Resultado líquido</t>
  </si>
  <si>
    <t>GO/VN</t>
  </si>
  <si>
    <t>Gastos com pessoal</t>
  </si>
  <si>
    <t>FSE</t>
  </si>
  <si>
    <t>Investimentos</t>
  </si>
  <si>
    <t>Validações</t>
  </si>
  <si>
    <t>Folhas</t>
  </si>
  <si>
    <t>Erros</t>
  </si>
  <si>
    <t>Demonstação de resultados</t>
  </si>
  <si>
    <t>Demonstração de fluxos de caixa</t>
  </si>
  <si>
    <t>não corrente</t>
  </si>
  <si>
    <t>Resultados Transitados</t>
  </si>
  <si>
    <t>*executado; **Previsto no Orçamento; *** estimativa do final do ano; ****Previsão</t>
  </si>
  <si>
    <t>Capital Próprio (total)</t>
  </si>
  <si>
    <t>Vendas e serviços prestados (1)</t>
  </si>
  <si>
    <t>Subídios à exploração (2)</t>
  </si>
  <si>
    <t>Gastos operacionais (GO) = (4)+ (5) + (6)</t>
  </si>
  <si>
    <t>Volume de negócios (VN) = (1)+(2)</t>
  </si>
  <si>
    <t>CMVMC (4)</t>
  </si>
  <si>
    <t>Gastos com Pessoal (5)</t>
  </si>
  <si>
    <t>Fornecimentos e serviços externos (6)</t>
  </si>
  <si>
    <t>EBITDA recorrente</t>
  </si>
  <si>
    <t>BALANÇO</t>
  </si>
  <si>
    <t>Rubricas</t>
  </si>
  <si>
    <t>Notas</t>
  </si>
  <si>
    <t>Ativos fixos tangíveis</t>
  </si>
  <si>
    <t>Ativos intangíveis</t>
  </si>
  <si>
    <t>Ativos biológicos</t>
  </si>
  <si>
    <t>Diferimentos</t>
  </si>
  <si>
    <t>Subtotal</t>
  </si>
  <si>
    <t>Inventários</t>
  </si>
  <si>
    <t>Estado e outros entes públicos</t>
  </si>
  <si>
    <t>Ativos financeiros detidos para negociação</t>
  </si>
  <si>
    <t>Ativos não correntes detidos para venda</t>
  </si>
  <si>
    <t>Total do Ativo</t>
  </si>
  <si>
    <t>Ações (quotas) próprias</t>
  </si>
  <si>
    <t>Outros instrumentos de capital próprio</t>
  </si>
  <si>
    <t>Prémios de emissão</t>
  </si>
  <si>
    <t>Resultados transitados</t>
  </si>
  <si>
    <t>Ajustamentos em ativos financeiros</t>
  </si>
  <si>
    <t>Excedentes de revalorização</t>
  </si>
  <si>
    <t>Resultado líquido do período</t>
  </si>
  <si>
    <t>Provisões</t>
  </si>
  <si>
    <t>Financiamentos obtidos</t>
  </si>
  <si>
    <t>Fornecedores</t>
  </si>
  <si>
    <t>Passivos por impostos diferidos</t>
  </si>
  <si>
    <t>Passivos financeiros detidos para negociação</t>
  </si>
  <si>
    <t>Outros passivos financeiros</t>
  </si>
  <si>
    <t>Check Balanço</t>
  </si>
  <si>
    <t>Execução</t>
  </si>
  <si>
    <t>PAO</t>
  </si>
  <si>
    <t>Previsão</t>
  </si>
  <si>
    <t>Ativo não corrente</t>
  </si>
  <si>
    <t>Propriedades de investimento</t>
  </si>
  <si>
    <t>Participações financeiras - método da quivalência patrimonial</t>
  </si>
  <si>
    <t>Participações financeiras - outros métodos</t>
  </si>
  <si>
    <t>Clientes</t>
  </si>
  <si>
    <t>Acionistas/ sócios</t>
  </si>
  <si>
    <t>Créditos a receber</t>
  </si>
  <si>
    <t>Outros investimentos financeiros</t>
  </si>
  <si>
    <t>Ativo por impostos diferidos</t>
  </si>
  <si>
    <t>Ativo corrente</t>
  </si>
  <si>
    <t>Adiantamento a fornecedores</t>
  </si>
  <si>
    <t>Caixa e depósitos bancários</t>
  </si>
  <si>
    <t>Capital subscrito</t>
  </si>
  <si>
    <t>Reservas legais</t>
  </si>
  <si>
    <t>Outras reservas</t>
  </si>
  <si>
    <t>Outras variações no capital próprio</t>
  </si>
  <si>
    <t>Total do Capital Próprio</t>
  </si>
  <si>
    <t>Passivo não corrente</t>
  </si>
  <si>
    <t>Responsabilidades por beneficíos pós-emprego</t>
  </si>
  <si>
    <t>Outras dívidas a pagar</t>
  </si>
  <si>
    <t>Passivo Corrente</t>
  </si>
  <si>
    <t>Adiantamento de clientes</t>
  </si>
  <si>
    <t>Total do passivo</t>
  </si>
  <si>
    <t>Total do Capital Próprio e Passivo</t>
  </si>
  <si>
    <t>ATIVO</t>
  </si>
  <si>
    <t>CAPITAL PRÓPRIO</t>
  </si>
  <si>
    <t>PASSIVO</t>
  </si>
  <si>
    <t>DEMONSTRAÇÃO INDIVIDUAL DOS RESULTADOS POR NATUREZAS</t>
  </si>
  <si>
    <t>Rendimentos e Gastos</t>
  </si>
  <si>
    <t>Vendas e serviços prestados</t>
  </si>
  <si>
    <t>Ganhos/perdas imputados de subsidiárias, associadas e empreendimentos conjuntos</t>
  </si>
  <si>
    <t>Variação nos inventários da produção</t>
  </si>
  <si>
    <t>Trabalhos para a própria entidade</t>
  </si>
  <si>
    <t>Custo das mercadorias vendidas e das matérias consumidas</t>
  </si>
  <si>
    <t>Fornecimentos e serviços externos</t>
  </si>
  <si>
    <t>Gastos com o pessoal</t>
  </si>
  <si>
    <t>Imparidade de inventários (perdas/reversões)</t>
  </si>
  <si>
    <t>Imparidade de dívidas a receber (perdas/reversões)</t>
  </si>
  <si>
    <t>Provisões (aumentos/reduções)</t>
  </si>
  <si>
    <t>Imparidade de investimentos não depreciáveis/amortizáveis (perdas/reversões)</t>
  </si>
  <si>
    <t>Aumentos/reduções de justo valor</t>
  </si>
  <si>
    <t>Gastos/reversões de depreciação e de amortização</t>
  </si>
  <si>
    <t>Imparidade de investimentos depreciáveis/amortizáveis (perdas/reversões)</t>
  </si>
  <si>
    <t>Juros e rendimentos similares obtidos</t>
  </si>
  <si>
    <t>Juros e gastos similares suportados</t>
  </si>
  <si>
    <t>Resultado antes de impostos</t>
  </si>
  <si>
    <t>Imposto sobre o rendimento do período</t>
  </si>
  <si>
    <t>Resultado antes de depreciações, gastos de financiamento e impostos (EBITDA)</t>
  </si>
  <si>
    <t>Resultado operacional (EBIT)</t>
  </si>
  <si>
    <t>Unidade:</t>
  </si>
  <si>
    <t>Check com Balanço</t>
  </si>
  <si>
    <t>DEMONSTRAÇÃO DOS FLUXOS DE CAIXA</t>
  </si>
  <si>
    <t>Pagamentos a fornecedores</t>
  </si>
  <si>
    <t>Pagamentos ao pessoal</t>
  </si>
  <si>
    <t>Caixa gerada pelas operações</t>
  </si>
  <si>
    <t>Pagamento/recebimento do imposto sobre o rendimento</t>
  </si>
  <si>
    <t>Outros recebimentos/pagamentos</t>
  </si>
  <si>
    <t>Pagamentos respeitantes a:</t>
  </si>
  <si>
    <t>Investimentos financeiros</t>
  </si>
  <si>
    <t>Recebimentos provenientes de:</t>
  </si>
  <si>
    <t>Subsídios ao Investimento</t>
  </si>
  <si>
    <t>Juros e rendimentos similares</t>
  </si>
  <si>
    <t>Dividendos</t>
  </si>
  <si>
    <t>Realização de capital e de outros instrumentos de capital próprio</t>
  </si>
  <si>
    <t>Cobertura de prejuízos</t>
  </si>
  <si>
    <t>Outras operações de financiamento</t>
  </si>
  <si>
    <t>Juros e gastos similares</t>
  </si>
  <si>
    <t>Reduções de capital e de outros instrumentos de capital próprio</t>
  </si>
  <si>
    <t>Fluxos de caixa de atividades operacionais (a)</t>
  </si>
  <si>
    <t>Fluxos de caixa das atividades de investimento (b)</t>
  </si>
  <si>
    <t>Variação de caixa e seus equivalentes (a+b+c)</t>
  </si>
  <si>
    <t>Caixa e seus equivalentes no início do período</t>
  </si>
  <si>
    <t>Caixa e seus equivalentes no fim do período</t>
  </si>
  <si>
    <t xml:space="preserve">Fluxos de caixa de atividades operacionais </t>
  </si>
  <si>
    <t xml:space="preserve">Fluxos de caixa das atividades de investimento </t>
  </si>
  <si>
    <t xml:space="preserve">Fluxos de caixa das atividades de financiamento </t>
  </si>
  <si>
    <t>Fluxo de caixa das atividades de financiamento (c)</t>
  </si>
  <si>
    <t>Impostos e Taxas</t>
  </si>
  <si>
    <t>Transferências correntes e Subsídios à exploração obtidos</t>
  </si>
  <si>
    <t>Outros rendimentos e ganhos</t>
  </si>
  <si>
    <t>Outros gastos e perdas</t>
  </si>
  <si>
    <t>Proriedades de Investimentos</t>
  </si>
  <si>
    <t>Outros Ativos</t>
  </si>
  <si>
    <t>Recebimentos de clientes</t>
  </si>
  <si>
    <t>Investimento 1</t>
  </si>
  <si>
    <t>Financiamento A</t>
  </si>
  <si>
    <t>Financiamento B</t>
  </si>
  <si>
    <t>Financiamento C</t>
  </si>
  <si>
    <t>Investimento 2</t>
  </si>
  <si>
    <t>Investimento 3</t>
  </si>
  <si>
    <t>Investimento 4</t>
  </si>
  <si>
    <t>Investimento 5</t>
  </si>
  <si>
    <t>VAL estimado do total do investimento 1</t>
  </si>
  <si>
    <t>VAL estimado do total do investimento 2</t>
  </si>
  <si>
    <t>VAL estimado do total do investimento 3</t>
  </si>
  <si>
    <t>VAL estimado do total do investimento 4</t>
  </si>
  <si>
    <t>VAL estimado do total do investimento 5</t>
  </si>
  <si>
    <t>Total Investimento</t>
  </si>
  <si>
    <t>Total financiamento</t>
  </si>
  <si>
    <t>Check</t>
  </si>
  <si>
    <t>4. Identificar se trata-se de um novo investimento com expressão material.</t>
  </si>
  <si>
    <t>Eficiência Operacional</t>
  </si>
  <si>
    <t>Valor</t>
  </si>
  <si>
    <t>Gastos operacionais (GO)</t>
  </si>
  <si>
    <t>CMVMC</t>
  </si>
  <si>
    <t>Impacto A</t>
  </si>
  <si>
    <t>Impacto ...</t>
  </si>
  <si>
    <t>Gastos operacionais ajustados</t>
  </si>
  <si>
    <t>Volume de negócios</t>
  </si>
  <si>
    <t>Vendas e Prestações de Serviços</t>
  </si>
  <si>
    <t>Volume de Negócios ajustado</t>
  </si>
  <si>
    <t>Gastos Operacionais/Volume de Negócio (GO/VN)</t>
  </si>
  <si>
    <t>Pessoal</t>
  </si>
  <si>
    <t>Nº Total de Trabalhadores</t>
  </si>
  <si>
    <t>N.º de membros dos órgãos sociais</t>
  </si>
  <si>
    <t>N.º dos restantes trabalhadores</t>
  </si>
  <si>
    <t>Gastos totais com pessoal*</t>
  </si>
  <si>
    <t>Gastos com cargos de direção</t>
  </si>
  <si>
    <t>Remuneração do pessoal</t>
  </si>
  <si>
    <t>Beneficíos pós-emprego</t>
  </si>
  <si>
    <t>Ajudas de custo</t>
  </si>
  <si>
    <t>Rescisões / Indemnizações</t>
  </si>
  <si>
    <t>Restantes encargos</t>
  </si>
  <si>
    <t>Informação adicional</t>
  </si>
  <si>
    <t>(ii) Gastos com as contratações previstas em anos subsequentes</t>
  </si>
  <si>
    <t>(iii) Cumprimento de disposições legais</t>
  </si>
  <si>
    <t>(v) Valorizações remuneratórias obrigatórias</t>
  </si>
  <si>
    <t>(vi) Outras valorizações remuneratórias</t>
  </si>
  <si>
    <t>(vii) Rescisões por mútuo acordo</t>
  </si>
  <si>
    <t>Correções para efeitos de rácio</t>
  </si>
  <si>
    <t>(-) Gastos com órgãos sociais*</t>
  </si>
  <si>
    <t>(-) Cumprimento de disposições legais</t>
  </si>
  <si>
    <t>(-) Valorizações remuneratórias obrigatórias</t>
  </si>
  <si>
    <t>(-) Rescisões contratuais excluindo por mútuo acordo</t>
  </si>
  <si>
    <t>(+) Absentismo</t>
  </si>
  <si>
    <t>Gastos com pessoal ajustados para efeito de rácio</t>
  </si>
  <si>
    <t>Gastos com dirigentes/Gastos com pessoal ajustados</t>
  </si>
  <si>
    <t>Gastos com OS/ Gastos com pessoal ajustados</t>
  </si>
  <si>
    <t>Check Demonstração de resultados</t>
  </si>
  <si>
    <t>Grupo Profissional</t>
  </si>
  <si>
    <t>Idade média</t>
  </si>
  <si>
    <t>nº de trabalhadores com 60 ou mais anos</t>
  </si>
  <si>
    <t>nº de trabalhadores em idade de reforma</t>
  </si>
  <si>
    <t>Saídas esperadas (reformas/outros)</t>
  </si>
  <si>
    <t>Trabalhadores ausentes por mobilidade/cedência/licença</t>
  </si>
  <si>
    <t>Entradas ao abrigo do ... (normativo legal, despacho, etc. )</t>
  </si>
  <si>
    <t>Autorizações de recrutamento solicitadas</t>
  </si>
  <si>
    <t>Situação a 31/12/2024</t>
  </si>
  <si>
    <t>Situação a 31/12/2025</t>
  </si>
  <si>
    <t>Situação a 31/12/2026</t>
  </si>
  <si>
    <t>Órgãos Sociais (OS)</t>
  </si>
  <si>
    <t>Cargos de direção (s/OS)</t>
  </si>
  <si>
    <t>Categoria 1 (*)</t>
  </si>
  <si>
    <t>Categoria 2 (*)</t>
  </si>
  <si>
    <t>... (*)</t>
  </si>
  <si>
    <t>Total</t>
  </si>
  <si>
    <t>(1)</t>
  </si>
  <si>
    <t>(2)</t>
  </si>
  <si>
    <t>(3)</t>
  </si>
  <si>
    <t>(4)</t>
  </si>
  <si>
    <t>(5)</t>
  </si>
  <si>
    <t>(6)</t>
  </si>
  <si>
    <t>(7) = (1)-(2) + (3) + (4) + (5) + (6)</t>
  </si>
  <si>
    <t>dias</t>
  </si>
  <si>
    <t>Prazo médio de pagamentos</t>
  </si>
  <si>
    <t>Pagamentos em Atraso (Arrears)</t>
  </si>
  <si>
    <t>** Valor dos apoios financeiros recebidos para compensar as empresas públicas que prestem serviços públicos, nos termos dos respetivos contratos de serviço público.</t>
  </si>
  <si>
    <t>Euros</t>
  </si>
  <si>
    <t>Detalhe de Fornecimentos e Serviços externos</t>
  </si>
  <si>
    <t>Fornecimentos e serviços externos (1)</t>
  </si>
  <si>
    <t>Fornecimentos e serviços externos (2)</t>
  </si>
  <si>
    <t>Fornecimentos e serviços externos (3)</t>
  </si>
  <si>
    <t>Fornecimentos  e serviços externos (...)</t>
  </si>
  <si>
    <t>Deslocações e alojamento</t>
  </si>
  <si>
    <t>Associados à frota automóvel</t>
  </si>
  <si>
    <t>Contratação de estudos, pareceres, projetos e consultoria</t>
  </si>
  <si>
    <t>Frota automóvel</t>
  </si>
  <si>
    <t>Operacional - EUR</t>
  </si>
  <si>
    <t>Operacional - n.º de viaturas</t>
  </si>
  <si>
    <t>Não operacional - EUR</t>
  </si>
  <si>
    <t>Não operacional - nº de viaturas</t>
  </si>
  <si>
    <t>Unidade %</t>
  </si>
  <si>
    <t>Fórmula</t>
  </si>
  <si>
    <t>Rentabilidade das vendas</t>
  </si>
  <si>
    <t>Rentabilidade do Ativo</t>
  </si>
  <si>
    <t>Rentabilidade do Capital Próprio</t>
  </si>
  <si>
    <t>Autonomia Financeira</t>
  </si>
  <si>
    <t>Liquidez Geral</t>
  </si>
  <si>
    <t>Rentabilidade dos RH</t>
  </si>
  <si>
    <t>EBITDA/Volume de Negócios</t>
  </si>
  <si>
    <t>Resultado Operacional/Ativo</t>
  </si>
  <si>
    <t>Resultado Líquido/Capital Próprio</t>
  </si>
  <si>
    <t>Passivo/Ativo</t>
  </si>
  <si>
    <t>Capital Próprio/Ativo</t>
  </si>
  <si>
    <t>Ativo Corrente/Passivo Corrente</t>
  </si>
  <si>
    <t>Resultado Operacional/n.º de trabalhadores</t>
  </si>
  <si>
    <t>Gastos operacionais/EBITDA</t>
  </si>
  <si>
    <t>Gastos com o pessoal/EBITDA</t>
  </si>
  <si>
    <t>Gastos com CMVMC/EBITDA</t>
  </si>
  <si>
    <t>Gastos com FSE/EBITDA</t>
  </si>
  <si>
    <t>Comportabilidade de investimento e capacidade de endividamento</t>
  </si>
  <si>
    <t>Período de recuperação do investimento (payback period)</t>
  </si>
  <si>
    <t xml:space="preserve">Rentabilidade </t>
  </si>
  <si>
    <t>Remuneração do Capital investido</t>
  </si>
  <si>
    <t>Resultado Líquido/Capital investido</t>
  </si>
  <si>
    <t>Outros</t>
  </si>
  <si>
    <t>Eficiência - Desempenho operacional</t>
  </si>
  <si>
    <t>Impacto dos GO no EBITDA</t>
  </si>
  <si>
    <t>Impacto dos Gastos com pessoal no EBITDA</t>
  </si>
  <si>
    <t>Impacto dos Gastos com CMVMC no EBITDA</t>
  </si>
  <si>
    <t>Impacto dos Gastos com FSE no EBITDA</t>
  </si>
  <si>
    <t>Rácio de Endividamento</t>
  </si>
  <si>
    <t>EBITDA/Juros e gastos similares suportados</t>
  </si>
  <si>
    <t>Investimento Inicial/Fluxo de caixa médio anual</t>
  </si>
  <si>
    <t>Passivo Financeiro/Capital próprio</t>
  </si>
  <si>
    <t>Debt-to-equity</t>
  </si>
  <si>
    <t>Capacidade da empresa em liquidar o custo de capital alheio remunerado</t>
  </si>
  <si>
    <t>IPG</t>
  </si>
  <si>
    <t>Taxa de crescimento nominal PIB</t>
  </si>
  <si>
    <t>Taxa de crescimento real PIB</t>
  </si>
  <si>
    <t>Otimização de Gastos</t>
  </si>
  <si>
    <t>Variação média anual do triénio</t>
  </si>
  <si>
    <t>Cumpre 1º  ano</t>
  </si>
  <si>
    <t>S</t>
  </si>
  <si>
    <t>N</t>
  </si>
  <si>
    <t>N/A</t>
  </si>
  <si>
    <t>Cumpre Triénio</t>
  </si>
  <si>
    <t>Nota: As empresas públicas regionais podem propor indicadores diferentes, atendendo às suas especificidades ou às do setor no qual atuam.</t>
  </si>
  <si>
    <t>5. Caso seja necessário introduzir linhas e/ou alterar formúlas deve seguir os passos do ponto seguinte "APOIO".</t>
  </si>
  <si>
    <t>4. Deve ter em consideração as notas apresentadas nas folhas de cálculo, as quais podem ajudar na elaboração do PAO.</t>
  </si>
  <si>
    <t>1. Para desproteger folhas e ter acesso total às mesmas, posicione-se na folha que pretende desproteger, seguidamente deve aceder ao Menu "Rever" e selecionar o Botão "desproteger folha".</t>
  </si>
  <si>
    <t>1º Deve selecionar a última célula do ativo Corrente, neste exemplo "Caixa e depósitos bancários"</t>
  </si>
  <si>
    <t>2º Seleccionar o botão direito do rato e seguidamente selecionar o comando "Inserir". Após aberturas das opções selecionar inserir linha.</t>
  </si>
  <si>
    <t>3.1 Exemplo 1: Balanço - Introdução de uma nova rubrica no Ativo Corrente.</t>
  </si>
  <si>
    <r>
      <t xml:space="preserve">3. Caso seja necessário inserir linhas deve ter em conta os seguintes exemplos, </t>
    </r>
    <r>
      <rPr>
        <b/>
        <u/>
        <sz val="8"/>
        <color rgb="FF333333"/>
        <rFont val="Verdana"/>
        <family val="2"/>
      </rPr>
      <t>de forma a não comprometer os somatórios existentes na folhas de cálculo</t>
    </r>
    <r>
      <rPr>
        <sz val="8"/>
        <color indexed="63"/>
        <rFont val="Verdana"/>
        <family val="2"/>
      </rPr>
      <t xml:space="preserve">:
</t>
    </r>
  </si>
  <si>
    <t>3.2 Exemplo 2: Investimentos - Introdução de um novo investimento (no exemplo: Investimento 6)</t>
  </si>
  <si>
    <t>2º Seleccione o botão direito do rato e seguidamente selecione o comando "Copiar".</t>
  </si>
  <si>
    <t>* Se aplicável: Os impactos/gastos excecionais devem ser justificados em sede de PAO e devidamente discrimidados.</t>
  </si>
  <si>
    <t>(iv) Orientações expressas do acionista RAM</t>
  </si>
  <si>
    <t>Solvabilidade</t>
  </si>
  <si>
    <t>Capital Próprio/Passivo</t>
  </si>
  <si>
    <t>Endividamento Corrente</t>
  </si>
  <si>
    <t>Endividamento não Corrente</t>
  </si>
  <si>
    <t>N.º de membros dos cargos de direção</t>
  </si>
  <si>
    <t xml:space="preserve">Nota:  O cálculo do Prazo Médio de Pagamentos (em dias), deverá ser efetuado de acordo com o definido no “Programa Pagar a Tempo e Horas”, aprovado pela Resolução do Conselho de Ministros n.º 34/2008, publicado no Diário da República, 1.ª Série-N.º 38-22 de fevereiro de 2008, que tem aplicação nas Regiões Autónomas, alterado pelo Despacho n.º 9 870/2009, publicado no Diário da República, 2.ª Série-N.º 71-13 de abril de 2009.                            </t>
  </si>
  <si>
    <t>GO/IP (SESARAM)</t>
  </si>
  <si>
    <t>Eficiência Operacional (SESARAM)</t>
  </si>
  <si>
    <t>N.º de doentes ou atos médicos</t>
  </si>
  <si>
    <t>Relação de preços entre as linhas de atividade</t>
  </si>
  <si>
    <t>Indicador de Produção anual*</t>
  </si>
  <si>
    <t>Gastos Operacionais/ Indicador de produção (GO/IP)</t>
  </si>
  <si>
    <t>Horas extraordinárias com serviços médicos</t>
  </si>
  <si>
    <t>Horas extraordinárias com serviços de enfermagem</t>
  </si>
  <si>
    <t>Horas extraordinárias com outros grupos profissionais</t>
  </si>
  <si>
    <t>Prestações de serviços médicos</t>
  </si>
  <si>
    <t>Outras prestações de serviços</t>
  </si>
  <si>
    <t>Horas extraodinárias e prestações de serviços médicos (SESARAM)</t>
  </si>
  <si>
    <t>SESARAM: Horas extraodinárias e prestações de serviços médicos</t>
  </si>
  <si>
    <t>SESARAM: Gastos com o pessoal ajustados</t>
  </si>
  <si>
    <t>Gastos com o pessoal/Volume de negócios</t>
  </si>
  <si>
    <t>a) Volume de negócios (vendas e serviços prestados)</t>
  </si>
  <si>
    <t>c) EBIT, líq. de provisões, imparidades e correções de justo valor</t>
  </si>
  <si>
    <t>e) EBITDA Recorrente</t>
  </si>
  <si>
    <t>f) Resultado Líquido</t>
  </si>
  <si>
    <t>g) Rentabilidade do Ativo (ROA)</t>
  </si>
  <si>
    <t>h) Rentabilidade dos RH</t>
  </si>
  <si>
    <t>i) Rentabilidade do Capital Próprio (ROE)</t>
  </si>
  <si>
    <t>j) Pagamentos em Atraso (Arrears)</t>
  </si>
  <si>
    <t>b) Volume de negócios ajustado</t>
  </si>
  <si>
    <t>3. Nas folhas de cálculo com separadores cor laranja, azul e verde deve proceder ao preenchimento das células a cor dourado, quando se aplique. O preenchimento destas células irá preencher de forma automática os dados nos restantes separadores.</t>
  </si>
  <si>
    <t>€</t>
  </si>
  <si>
    <t>Rácios Ecocómicos e financeiros</t>
  </si>
  <si>
    <t>(...)</t>
  </si>
  <si>
    <t xml:space="preserve">Apoio financeiro da RAM </t>
  </si>
  <si>
    <t>Suprimentos</t>
  </si>
  <si>
    <t>Dotações Capital</t>
  </si>
  <si>
    <t>Empréstimo/ Juros Swap</t>
  </si>
  <si>
    <t>Compensações financeiras</t>
  </si>
  <si>
    <t>Subsídios ao investimento</t>
  </si>
  <si>
    <t>euros</t>
  </si>
  <si>
    <t>Quadro Recursos Humanos (1)</t>
  </si>
  <si>
    <t>Quadro Recursos Humanos (2)</t>
  </si>
  <si>
    <t>Indemnizações Compensatórias/Subsídios à exploração (conforme Contrato Serviço Público)**</t>
  </si>
  <si>
    <t>Impactos decorrentes de obrigações legais</t>
  </si>
  <si>
    <t>PIB</t>
  </si>
  <si>
    <t>Consumo Privado</t>
  </si>
  <si>
    <t>Consumo Público</t>
  </si>
  <si>
    <t>Investimento</t>
  </si>
  <si>
    <t>Estimativa</t>
  </si>
  <si>
    <t>Substituição de saídas previstas ocorrer em 2027 (obriga a entrada para base de carreira)</t>
  </si>
  <si>
    <t>Situação a 31/12/2027</t>
  </si>
  <si>
    <t>Movimentos de Pessoal - 2027</t>
  </si>
  <si>
    <t>2027 vs 2026</t>
  </si>
  <si>
    <t>Gastos operacionais</t>
  </si>
  <si>
    <t>k) Dívida financeira líquida</t>
  </si>
  <si>
    <t>Margem EBITDA recorrente</t>
  </si>
  <si>
    <t>Margem EBITDA</t>
  </si>
  <si>
    <t>Margem EBIT</t>
  </si>
  <si>
    <t>Aplicabilidade do artigo 35.º CSC</t>
  </si>
  <si>
    <t>2024*</t>
  </si>
  <si>
    <t>2027****</t>
  </si>
  <si>
    <t>Evolução da dívida financeira líquida</t>
  </si>
  <si>
    <t>Dívida financeira</t>
  </si>
  <si>
    <t>Disponibilidade</t>
  </si>
  <si>
    <t>Dívida financeira líquida</t>
  </si>
  <si>
    <t>2028****</t>
  </si>
  <si>
    <t xml:space="preserve"> *Média ponderada, na qual as quantidades são o número de doentes ou atos médicos por linha de atividade e o ponderador é, para todo o triénio, a relação de preços entre as linhas de atividade utilizadas para o cálculo do doente padrão em 2026.</t>
  </si>
  <si>
    <t>Movimentos de Pessoal - 2028</t>
  </si>
  <si>
    <t>Substituição de saídas previstas ocorrer em 2028 (obriga a entrada para base de carreira)</t>
  </si>
  <si>
    <t>Situação a 31/12/2028</t>
  </si>
  <si>
    <t>2028 vs 2027</t>
  </si>
  <si>
    <t>Resultado operacional líquido de provisões, imparidades e correções de justo valor</t>
  </si>
  <si>
    <t>DFC</t>
  </si>
  <si>
    <t>Explicação de diferenças</t>
  </si>
  <si>
    <t>Classificação Económica</t>
  </si>
  <si>
    <t>Instruções de preenchimento</t>
  </si>
  <si>
    <t>ATIVIDADES OPERACIONAIS - método direto</t>
  </si>
  <si>
    <t>R.04 (…)</t>
  </si>
  <si>
    <t>R.07.01</t>
  </si>
  <si>
    <t>R.07.02</t>
  </si>
  <si>
    <t>R.(…)</t>
  </si>
  <si>
    <t>outras classificações que poderão utilizar</t>
  </si>
  <si>
    <t>D.02 (…)</t>
  </si>
  <si>
    <t>somatório</t>
  </si>
  <si>
    <t>D.01.02.06</t>
  </si>
  <si>
    <t>prentende-se isolar este valor mas não deverá ser somado à classificação '02'</t>
  </si>
  <si>
    <t>D.01.03.09</t>
  </si>
  <si>
    <t>D.(…)</t>
  </si>
  <si>
    <t>D.01 (…)</t>
  </si>
  <si>
    <t>D.01.01.07</t>
  </si>
  <si>
    <t>prentende-se isolar este valor mas não deverá ser somado à classificação '01'</t>
  </si>
  <si>
    <t>D.01.01.12</t>
  </si>
  <si>
    <t>D.01.02.12</t>
  </si>
  <si>
    <t>D.01.02.13</t>
  </si>
  <si>
    <t>Pagamento / recebimento do imposto sobre o rendimento</t>
  </si>
  <si>
    <t>D.06.02.01</t>
  </si>
  <si>
    <t>(…)</t>
  </si>
  <si>
    <t>D.04 (…)</t>
  </si>
  <si>
    <t>R.06.(…)</t>
  </si>
  <si>
    <t>Outros recebimentos / pagamentos</t>
  </si>
  <si>
    <t>R.08.01.99</t>
  </si>
  <si>
    <t>R.12(…)</t>
  </si>
  <si>
    <t>Outros recebimentos / pagamentos gerados pelas operações</t>
  </si>
  <si>
    <t>Fluxos de caixa das atividades operacionais (1)</t>
  </si>
  <si>
    <t>ATIVIDADES DE INVESTIMENTO</t>
  </si>
  <si>
    <t>D.07</t>
  </si>
  <si>
    <t>D.07.(…)</t>
  </si>
  <si>
    <t>D.08 (…)</t>
  </si>
  <si>
    <t>D.09 (…)</t>
  </si>
  <si>
    <t>Outros ativos</t>
  </si>
  <si>
    <t>R.05.(…)</t>
  </si>
  <si>
    <t>R.09.(…)</t>
  </si>
  <si>
    <t>R.10.09 (…)</t>
  </si>
  <si>
    <t>R.11</t>
  </si>
  <si>
    <t>R.05.01 a R.05.06</t>
  </si>
  <si>
    <t>R.05.07 a R.05.09</t>
  </si>
  <si>
    <t>Fluxos de caixa das atividades de investimento (2)</t>
  </si>
  <si>
    <t>ATIVIDADES DE FINANCIAMENTO</t>
  </si>
  <si>
    <t>R.12 (…)</t>
  </si>
  <si>
    <t>Realizações de capital e de outros instrumentos de capital próprio</t>
  </si>
  <si>
    <t>R.12.07.03</t>
  </si>
  <si>
    <t>Doações</t>
  </si>
  <si>
    <t>R.10 (…)</t>
  </si>
  <si>
    <t>R.11 (…)</t>
  </si>
  <si>
    <t>D.10 (…)</t>
  </si>
  <si>
    <t>D.03.03 (…)</t>
  </si>
  <si>
    <t>Fluxos de caixa das atividades de financiamento (3)</t>
  </si>
  <si>
    <t>Variação de caixa e seus equivalentes (4) = (1) + (2) + (3)</t>
  </si>
  <si>
    <t>Efeito das diferenças de câmbio</t>
  </si>
  <si>
    <t>DEMONSTRAÇÃO DE FLUXOS DE CAIXA vs. ORÇAMENTO DA REGIÃO AUTÓNOMA DA MADEIRA</t>
  </si>
  <si>
    <t>Demonstração de Fluxos de Caixa - SNC</t>
  </si>
  <si>
    <t>ORAM</t>
  </si>
  <si>
    <t>Rácios Económicos e Financeiros</t>
  </si>
  <si>
    <t>2. Ao efetuar o passo 1, passará a ter o domínio da folha desprotegida podendo alterar formúlas (se aplicável), alterar a formatação condicionada ou inserir linhas.</t>
  </si>
  <si>
    <t>Gastos com o pessoal/Vendas e serviços prestados</t>
  </si>
  <si>
    <t>Check FSE_DR</t>
  </si>
  <si>
    <t>Demonstração de Fluxos de Caixa vs. Orçamento da RAM (Empresas Públicas Reclassificadas)</t>
  </si>
  <si>
    <r>
      <t xml:space="preserve">Nota: </t>
    </r>
    <r>
      <rPr>
        <sz val="9"/>
        <color theme="1"/>
        <rFont val="Verdana"/>
        <family val="2"/>
      </rPr>
      <t>Aplicável apenas às Empresas Públicas Reclassificadas.</t>
    </r>
  </si>
  <si>
    <t>Gastos com órgãos sociais</t>
  </si>
  <si>
    <t>2027-2029</t>
  </si>
  <si>
    <t>Exportações</t>
  </si>
  <si>
    <t xml:space="preserve">Importações </t>
  </si>
  <si>
    <t>1ºT2027</t>
  </si>
  <si>
    <t>2ºT2027</t>
  </si>
  <si>
    <t>3ºT2027</t>
  </si>
  <si>
    <t>4ºT2027</t>
  </si>
  <si>
    <t>Prioridade</t>
  </si>
  <si>
    <t>Antes de 2026</t>
  </si>
  <si>
    <t>Pós 2029</t>
  </si>
  <si>
    <t>1. Identificar se se trata de investimento de substituição ou de expansão, e se está contingente na concretização de financiamentos (v.g., de candidaturas a fundos estruturais).</t>
  </si>
  <si>
    <t>2. Caso seja um investimento em curso, deverá acresentar os investimentos e respetivas fontes de financiamento na coluna "Antes de 2026".</t>
  </si>
  <si>
    <t>3. Caso seja um investimento que se prolongue após 2029, deverá inserir os valores remanescentes até a conclusão do projeto, desagregados por fonte de financiamento na coluna "Pós 2029".</t>
  </si>
  <si>
    <t>1º Deve selecionar o último Investimento (Investimento 5), tal como demonstrado na imagem infra (no caso da figura abaixo seleciona-se da linha 32 à linha 36).</t>
  </si>
  <si>
    <t>3º Selecione a linha imediatamente abaixo das informações relativas ao investimento anterior (no exemplo acima, seleciona-se a linha 37). Em seguida, clique com o botão direito do rato sobre a linha selecionada, posteriormente escolha a opção "Inserir Células Copiadas" e posteriormente selecione "Mover células para baixo".</t>
  </si>
  <si>
    <t>2025*</t>
  </si>
  <si>
    <t>2026**</t>
  </si>
  <si>
    <t>2029****</t>
  </si>
  <si>
    <t>2026***</t>
  </si>
  <si>
    <t>Δ (2027-2026)</t>
  </si>
  <si>
    <t>Impactos decorrentes de obrigações legais*</t>
  </si>
  <si>
    <t>Impacto na receita decorrente de obrigações legais***</t>
  </si>
  <si>
    <r>
      <rPr>
        <b/>
        <sz val="9"/>
        <color rgb="FF000000"/>
        <rFont val="Verdana"/>
        <family val="2"/>
      </rPr>
      <t>Nota:</t>
    </r>
    <r>
      <rPr>
        <sz val="9"/>
        <color rgb="FF000000"/>
        <rFont val="Verdana"/>
        <family val="2"/>
      </rPr>
      <t xml:space="preserve"> Quando a natureza da empresa não permitir aferir a eficiência operacional, deverá apresentar uma proposta de um indicador de eficiência operacional alternativo na proposta de PAO, o qual deve ser mantido, pelo menos, nos exercícios de 2028 e 2029. Note-se que esta proposta deverá ser autorizada pelo membro do Governo responsável pela área das finanças.</t>
    </r>
  </si>
  <si>
    <t>(i) Gastos com as contratações autorizadas ou previstas em 2026</t>
  </si>
  <si>
    <t>* O detalhe dos gastos com o pessoal deve ser preenchido com os respetivos encargos com a Segurança Social.</t>
  </si>
  <si>
    <t>Gastos com pessoal/ Gastos com pessoal ajustados</t>
  </si>
  <si>
    <t>Situação a 01.01.2027</t>
  </si>
  <si>
    <t>Movimentos de Pessoal - 2029</t>
  </si>
  <si>
    <t>Situação a 31/12/2029</t>
  </si>
  <si>
    <t>Categoria n (*)</t>
  </si>
  <si>
    <t>Autorizações de recrutamento concedidas em 2026</t>
  </si>
  <si>
    <t>='2027- (2) + (4) + (5) + (6)</t>
  </si>
  <si>
    <t>Substituição de saídas previstas ocorrer em 2029 (obriga a entrada para base de carreira)</t>
  </si>
  <si>
    <t>='2028- (2)+ (4) + (5) + (6)</t>
  </si>
  <si>
    <t>Racional da Avença/Função Exercida</t>
  </si>
  <si>
    <t xml:space="preserve">Endividamento </t>
  </si>
  <si>
    <t>2029 vs 2028</t>
  </si>
  <si>
    <t>Avenças</t>
  </si>
  <si>
    <t>Outros (Endividamento, Apoio Financeiro da RAM, Prazo médio de Pagamento, Pagamantos em Atraso,(...))</t>
  </si>
  <si>
    <t>Orientações Financeiras para o triénio</t>
  </si>
  <si>
    <t>Verificação do cumprimento das Orientações Financeiras</t>
  </si>
  <si>
    <t xml:space="preserve">*** Se aplicável: Outros rendimentos que concorram para o VN, que devem ser justificados em sede de PAO. </t>
  </si>
  <si>
    <t>I</t>
  </si>
  <si>
    <t>F</t>
  </si>
  <si>
    <t>Fonte: Direção Regional de Estatística da Madeira (DREM)</t>
  </si>
  <si>
    <t>IPC</t>
  </si>
  <si>
    <t>Taxa de crescimento IPC</t>
  </si>
  <si>
    <t>Gastos operacionais (corrigido do IPC)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</si>
</sst>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_(&quot;€&quot;* #,##0.00_);_(&quot;€&quot;* \(#,##0.00\);_(&quot;€&quot;* &quot;-&quot;??_);_(@_)"/>
    <numFmt numFmtId="167" formatCode="0.0"/>
    <numFmt numFmtId="168" formatCode="_-* #,##0_-;\-* #,##0_-;_-* &quot;-&quot;??_-;_-@_-"/>
    <numFmt numFmtId="169" formatCode="#,##0,;\(#,##0,\);\-"/>
    <numFmt numFmtId="170" formatCode="#,##0.0,;\(#,##0.0,\);\-"/>
    <numFmt numFmtId="171" formatCode="0.0%"/>
    <numFmt numFmtId="172" formatCode="_-* #,##0.0\ &quot;€&quot;_-;\-* #,##0.0\ &quot;€&quot;_-;_-* &quot;-&quot;?\ &quot;€&quot;_-;_-@_-"/>
    <numFmt numFmtId="173" formatCode="_-* #,##0&quot;x&quot;_-;\-* #,##0&quot;x&quot;_-;_-* &quot;-&quot;_-;_-@_-"/>
    <numFmt numFmtId="174" formatCode="0\,0&quot; p.p.&quot;"/>
    <numFmt numFmtId="175" formatCode="#,##0.0"/>
    <numFmt numFmtId="176" formatCode="_-* #,##0.0&quot;x&quot;_-;\-* #,##0.0&quot;x&quot;_-;_-* &quot;-&quot;_-;_-@_-"/>
    <numFmt numFmtId="177" formatCode="0.0,\p\.\p\."/>
    <numFmt numFmtId="178" formatCode="_-* #,##0.0_-;\-* #,##0.0_-;_-* &quot;-&quot;??_-;_-@_-"/>
    <numFmt numFmtId="179" formatCode="_-* #,##0\ _€_-;\-* #,##0\ _€_-;_-* &quot;-&quot;??\ _€_-;_-@_-"/>
    <numFmt numFmtId="180" formatCode="_-* #,##0.0\ _€_-;\-* #,##0.0\ _€_-;_-* &quot;-&quot;??\ _€_-;_-@_-"/>
    <numFmt numFmtId="181" formatCode="_-* #,##0.000\ _€_-;\-* #,##0.000\ _€_-;_-* &quot;-&quot;??\ _€_-;_-@_-"/>
    <numFmt numFmtId="182" formatCode="0.0000%"/>
    <numFmt numFmtId="183" formatCode="#,##0_ ;[Red]\-#,##0\ "/>
  </numFmts>
  <fonts count="83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Verdana"/>
      <family val="2"/>
    </font>
    <font>
      <sz val="8"/>
      <color indexed="63"/>
      <name val="Verdana"/>
      <family val="2"/>
    </font>
    <font>
      <sz val="8"/>
      <color indexed="23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7"/>
      <name val="Verdana"/>
      <family val="2"/>
    </font>
    <font>
      <sz val="10"/>
      <color indexed="23"/>
      <name val="Verdana"/>
      <family val="2"/>
    </font>
    <font>
      <b/>
      <u/>
      <sz val="8"/>
      <color indexed="63"/>
      <name val="Verdana"/>
      <family val="2"/>
    </font>
    <font>
      <sz val="8.25"/>
      <name val="Tahoma"/>
      <family val="2"/>
    </font>
    <font>
      <b/>
      <sz val="8"/>
      <color theme="0"/>
      <name val="Verdana"/>
      <family val="2"/>
    </font>
    <font>
      <sz val="10"/>
      <name val="Arial"/>
      <family val="2"/>
    </font>
    <font>
      <sz val="8"/>
      <color rgb="FFFF0000"/>
      <name val="Microsoft Sans Serif"/>
      <family val="2"/>
    </font>
    <font>
      <u/>
      <sz val="10"/>
      <name val="Verdana"/>
      <family val="2"/>
    </font>
    <font>
      <i/>
      <sz val="8"/>
      <name val="Verdana"/>
      <family val="2"/>
    </font>
    <font>
      <sz val="8"/>
      <color theme="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Verdana"/>
      <family val="2"/>
    </font>
    <font>
      <sz val="14"/>
      <color theme="0"/>
      <name val="Verdana"/>
      <family val="2"/>
    </font>
    <font>
      <sz val="12"/>
      <color theme="0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sz val="11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theme="1"/>
      <name val="Century Gothic"/>
      <family val="2"/>
    </font>
    <font>
      <sz val="9"/>
      <color rgb="FFFF0000"/>
      <name val="Microsoft Sans Serif"/>
      <family val="2"/>
    </font>
    <font>
      <sz val="9"/>
      <color theme="1"/>
      <name val="Microsoft Sans Serif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sz val="9"/>
      <name val="Microsoft Sans Serif"/>
      <family val="2"/>
    </font>
    <font>
      <sz val="10"/>
      <name val="Century Gothic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u/>
      <sz val="8"/>
      <color rgb="FF333333"/>
      <name val="Verdana"/>
      <family val="2"/>
    </font>
    <font>
      <sz val="8"/>
      <color theme="1"/>
      <name val="Calibri"/>
      <family val="2"/>
      <scheme val="minor"/>
    </font>
    <font>
      <sz val="10"/>
      <color indexed="9"/>
      <name val="Century Gothic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</font>
    <font>
      <sz val="11"/>
      <name val="Verdana"/>
      <family val="2"/>
    </font>
    <font>
      <sz val="9"/>
      <color theme="4" tint="-0.499984740745262"/>
      <name val="Microsoft Sans Serif"/>
      <family val="2"/>
    </font>
    <font>
      <b/>
      <sz val="11"/>
      <color rgb="FF000000"/>
      <name val="Century Gothic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9"/>
      <name val="Verdana"/>
      <family val="2"/>
    </font>
    <font>
      <i/>
      <sz val="10"/>
      <name val="Calibri"/>
      <family val="2"/>
      <scheme val="minor"/>
    </font>
    <font>
      <b/>
      <sz val="9"/>
      <name val="Verdana"/>
      <family val="2"/>
    </font>
    <font>
      <b/>
      <sz val="10"/>
      <name val="Calibri"/>
      <family val="2"/>
      <scheme val="minor"/>
    </font>
    <font>
      <b/>
      <sz val="12"/>
      <color theme="0"/>
      <name val="Century Gothic"/>
      <family val="2"/>
    </font>
    <font>
      <b/>
      <sz val="8"/>
      <color theme="0"/>
      <name val="Century Gothic"/>
      <family val="2"/>
    </font>
    <font>
      <sz val="7"/>
      <color theme="0"/>
      <name val="Verdana"/>
      <family val="2"/>
    </font>
    <font>
      <sz val="7"/>
      <color theme="1"/>
      <name val="Century Gothic"/>
      <family val="2"/>
    </font>
    <font>
      <b/>
      <sz val="8"/>
      <color theme="1"/>
      <name val="Verdana"/>
      <family val="2"/>
    </font>
    <font>
      <b/>
      <sz val="8"/>
      <color theme="1"/>
      <name val="Microsoft Sans Serif"/>
      <family val="2"/>
    </font>
    <font>
      <sz val="8"/>
      <color theme="1"/>
      <name val="Microsoft Sans Serif"/>
      <family val="2"/>
    </font>
    <font>
      <b/>
      <sz val="8"/>
      <color indexed="81"/>
      <name val="Verdana"/>
      <family val="2"/>
    </font>
    <font>
      <sz val="8"/>
      <color indexed="81"/>
      <name val="Verdana"/>
      <family val="2"/>
    </font>
    <font>
      <b/>
      <sz val="9"/>
      <color theme="0"/>
      <name val="Century Gothic"/>
      <family val="2"/>
    </font>
    <font>
      <sz val="11"/>
      <color theme="0"/>
      <name val="Verdana"/>
      <family val="2"/>
    </font>
    <font>
      <sz val="8"/>
      <name val="Calibri"/>
      <family val="2"/>
      <scheme val="minor"/>
    </font>
    <font>
      <b/>
      <sz val="9"/>
      <color theme="0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CC9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F4E9"/>
        <bgColor indexed="64"/>
      </patternFill>
    </fill>
    <fill>
      <patternFill patternType="solid">
        <fgColor rgb="FFF3FB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7">
    <border>
      <left/>
      <right/>
      <top/>
      <bottom/>
      <diagonal/>
    </border>
    <border>
      <left style="thin">
        <color theme="0" tint="-0.14990691854609822"/>
      </left>
      <right/>
      <top style="thin">
        <color theme="0" tint="-0.149906918546098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4" tint="-0.499984740745262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theme="4" tint="-0.499984740745262"/>
      </left>
      <right style="thin">
        <color theme="0"/>
      </right>
      <top/>
      <bottom style="thin">
        <color theme="0"/>
      </bottom>
      <diagonal/>
    </border>
    <border>
      <left style="thin">
        <color theme="0" tint="-0.1498764000366222"/>
      </left>
      <right/>
      <top style="thin">
        <color theme="0" tint="-0.1498764000366222"/>
      </top>
      <bottom/>
      <diagonal/>
    </border>
    <border>
      <left/>
      <right/>
      <top style="thin">
        <color theme="0" tint="-0.1498764000366222"/>
      </top>
      <bottom/>
      <diagonal/>
    </border>
    <border>
      <left/>
      <right style="thin">
        <color theme="0" tint="-0.1498764000366222"/>
      </right>
      <top style="thin">
        <color theme="0" tint="-0.1498764000366222"/>
      </top>
      <bottom/>
      <diagonal/>
    </border>
    <border>
      <left style="thin">
        <color theme="0" tint="-0.14987640003662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/>
      <top/>
      <bottom style="thin">
        <color theme="0" tint="-0.1498764000366222"/>
      </bottom>
      <diagonal/>
    </border>
    <border>
      <left/>
      <right/>
      <top/>
      <bottom style="thin">
        <color theme="0" tint="-0.1498764000366222"/>
      </bottom>
      <diagonal/>
    </border>
    <border>
      <left/>
      <right style="thin">
        <color theme="0" tint="-0.1498764000366222"/>
      </right>
      <top/>
      <bottom style="thin">
        <color theme="0" tint="-0.1498764000366222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hair">
        <color theme="4" tint="-0.499984740745262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 tint="-0.14996795556505021"/>
      </left>
      <right/>
      <top style="hair">
        <color auto="1"/>
      </top>
      <bottom/>
      <diagonal/>
    </border>
    <border>
      <left/>
      <right style="thin">
        <color theme="0" tint="-0.14996795556505021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theme="0" tint="-0.14996795556505021"/>
      </left>
      <right/>
      <top/>
      <bottom style="hair">
        <color auto="1"/>
      </bottom>
      <diagonal/>
    </border>
    <border>
      <left/>
      <right style="thin">
        <color theme="0" tint="-0.14996795556505021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auto="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auto="1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14996795556505021"/>
      </left>
      <right/>
      <top style="hair">
        <color auto="1"/>
      </top>
      <bottom style="hair">
        <color auto="1"/>
      </bottom>
      <diagonal/>
    </border>
    <border>
      <left/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3743705557422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/>
      <diagonal/>
    </border>
    <border>
      <left style="thin">
        <color theme="0"/>
      </left>
      <right style="thin">
        <color theme="0" tint="-0.14996795556505021"/>
      </right>
      <top style="hair">
        <color indexed="64"/>
      </top>
      <bottom/>
      <diagonal/>
    </border>
  </borders>
  <cellStyleXfs count="21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66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4" fillId="0" borderId="0">
      <protection locked="0"/>
    </xf>
    <xf numFmtId="0" fontId="14" fillId="0" borderId="0">
      <protection locked="0"/>
    </xf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0" fontId="23" fillId="0" borderId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6" fillId="0" borderId="0">
      <alignment wrapText="1"/>
    </xf>
  </cellStyleXfs>
  <cellXfs count="656">
    <xf numFmtId="0" fontId="0" fillId="0" borderId="0" xfId="0"/>
    <xf numFmtId="0" fontId="0" fillId="2" borderId="0" xfId="0" applyFill="1"/>
    <xf numFmtId="0" fontId="2" fillId="2" borderId="0" xfId="0" applyFont="1" applyFill="1"/>
    <xf numFmtId="0" fontId="7" fillId="0" borderId="0" xfId="3" applyFont="1"/>
    <xf numFmtId="49" fontId="10" fillId="3" borderId="6" xfId="7" applyNumberFormat="1" applyFont="1" applyFill="1" applyBorder="1" applyAlignment="1" applyProtection="1">
      <alignment horizontal="left" vertical="top" wrapText="1"/>
    </xf>
    <xf numFmtId="49" fontId="19" fillId="0" borderId="11" xfId="7" applyNumberFormat="1" applyFont="1" applyBorder="1" applyAlignment="1" applyProtection="1">
      <alignment horizontal="left" vertical="top" wrapText="1"/>
    </xf>
    <xf numFmtId="49" fontId="10" fillId="3" borderId="11" xfId="7" applyNumberFormat="1" applyFont="1" applyFill="1" applyBorder="1" applyAlignment="1" applyProtection="1">
      <alignment horizontal="left" vertical="top" wrapText="1"/>
    </xf>
    <xf numFmtId="0" fontId="6" fillId="8" borderId="0" xfId="3" applyFont="1" applyFill="1" applyAlignment="1">
      <alignment horizontal="left" vertical="center"/>
    </xf>
    <xf numFmtId="49" fontId="10" fillId="2" borderId="8" xfId="7" applyNumberFormat="1" applyFont="1" applyFill="1" applyBorder="1" applyAlignment="1" applyProtection="1">
      <alignment horizontal="left" vertical="top" wrapText="1" indent="2"/>
    </xf>
    <xf numFmtId="49" fontId="10" fillId="2" borderId="0" xfId="7" applyNumberFormat="1" applyFont="1" applyFill="1" applyAlignment="1" applyProtection="1">
      <alignment horizontal="left" vertical="top" wrapText="1" indent="2"/>
    </xf>
    <xf numFmtId="3" fontId="8" fillId="2" borderId="0" xfId="4" applyNumberFormat="1" applyFont="1" applyFill="1" applyBorder="1" applyAlignment="1" applyProtection="1">
      <alignment vertical="center"/>
    </xf>
    <xf numFmtId="49" fontId="10" fillId="2" borderId="12" xfId="7" applyNumberFormat="1" applyFont="1" applyFill="1" applyBorder="1" applyAlignment="1" applyProtection="1">
      <alignment horizontal="left" vertical="top" wrapText="1"/>
    </xf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7" fillId="2" borderId="0" xfId="3" applyFont="1" applyFill="1"/>
    <xf numFmtId="0" fontId="6" fillId="2" borderId="0" xfId="3" applyFont="1" applyFill="1" applyAlignment="1">
      <alignment horizontal="left" vertical="center" indent="1"/>
    </xf>
    <xf numFmtId="0" fontId="6" fillId="2" borderId="0" xfId="3" applyFont="1" applyFill="1" applyAlignment="1">
      <alignment horizontal="left" vertical="center"/>
    </xf>
    <xf numFmtId="0" fontId="9" fillId="2" borderId="0" xfId="3" applyFont="1" applyFill="1"/>
    <xf numFmtId="0" fontId="6" fillId="2" borderId="0" xfId="3" applyFont="1" applyFill="1" applyAlignment="1" applyProtection="1">
      <alignment horizontal="left" vertical="center" indent="1"/>
      <protection locked="0"/>
    </xf>
    <xf numFmtId="0" fontId="10" fillId="2" borderId="0" xfId="3" applyFont="1" applyFill="1"/>
    <xf numFmtId="0" fontId="12" fillId="2" borderId="0" xfId="3" applyFont="1" applyFill="1"/>
    <xf numFmtId="0" fontId="12" fillId="2" borderId="0" xfId="3" applyFont="1" applyFill="1" applyProtection="1">
      <protection locked="0"/>
    </xf>
    <xf numFmtId="0" fontId="6" fillId="0" borderId="19" xfId="3" applyFont="1" applyBorder="1" applyAlignment="1">
      <alignment horizontal="left" vertical="top" wrapText="1" indent="1"/>
    </xf>
    <xf numFmtId="0" fontId="6" fillId="0" borderId="20" xfId="3" applyFont="1" applyBorder="1" applyAlignment="1">
      <alignment horizontal="left" vertical="center" indent="1"/>
    </xf>
    <xf numFmtId="0" fontId="6" fillId="2" borderId="19" xfId="3" applyFont="1" applyFill="1" applyBorder="1" applyAlignment="1">
      <alignment horizontal="right" vertical="center" indent="1"/>
    </xf>
    <xf numFmtId="0" fontId="6" fillId="2" borderId="20" xfId="3" applyFont="1" applyFill="1" applyBorder="1" applyAlignment="1">
      <alignment horizontal="left" vertical="center" indent="1"/>
    </xf>
    <xf numFmtId="0" fontId="6" fillId="0" borderId="19" xfId="3" applyFont="1" applyBorder="1" applyAlignment="1">
      <alignment horizontal="right" vertical="center" indent="1"/>
    </xf>
    <xf numFmtId="0" fontId="8" fillId="6" borderId="0" xfId="8" applyNumberFormat="1" applyFont="1" applyFill="1" applyBorder="1" applyAlignment="1" applyProtection="1">
      <alignment horizontal="left" vertical="center"/>
      <protection locked="0"/>
    </xf>
    <xf numFmtId="0" fontId="20" fillId="2" borderId="20" xfId="3" applyFont="1" applyFill="1" applyBorder="1" applyAlignment="1">
      <alignment horizontal="left" vertical="center" indent="1"/>
    </xf>
    <xf numFmtId="0" fontId="20" fillId="2" borderId="20" xfId="3" applyFont="1" applyFill="1" applyBorder="1"/>
    <xf numFmtId="0" fontId="7" fillId="2" borderId="19" xfId="3" applyFont="1" applyFill="1" applyBorder="1"/>
    <xf numFmtId="0" fontId="6" fillId="2" borderId="19" xfId="3" applyFont="1" applyFill="1" applyBorder="1" applyAlignment="1">
      <alignment horizontal="left" vertical="center" indent="1"/>
    </xf>
    <xf numFmtId="0" fontId="6" fillId="2" borderId="19" xfId="3" applyFont="1" applyFill="1" applyBorder="1" applyAlignment="1" applyProtection="1">
      <alignment horizontal="left" vertical="center" indent="1"/>
      <protection locked="0"/>
    </xf>
    <xf numFmtId="0" fontId="6" fillId="2" borderId="20" xfId="3" applyFont="1" applyFill="1" applyBorder="1" applyAlignment="1" applyProtection="1">
      <alignment horizontal="left" vertical="center" indent="1"/>
      <protection locked="0"/>
    </xf>
    <xf numFmtId="0" fontId="12" fillId="2" borderId="20" xfId="3" applyFont="1" applyFill="1" applyBorder="1"/>
    <xf numFmtId="0" fontId="12" fillId="2" borderId="19" xfId="3" applyFont="1" applyFill="1" applyBorder="1"/>
    <xf numFmtId="0" fontId="12" fillId="2" borderId="19" xfId="3" applyFont="1" applyFill="1" applyBorder="1" applyProtection="1">
      <protection locked="0"/>
    </xf>
    <xf numFmtId="0" fontId="12" fillId="2" borderId="20" xfId="3" applyFont="1" applyFill="1" applyBorder="1" applyProtection="1">
      <protection locked="0"/>
    </xf>
    <xf numFmtId="0" fontId="12" fillId="2" borderId="21" xfId="3" applyFont="1" applyFill="1" applyBorder="1"/>
    <xf numFmtId="0" fontId="12" fillId="2" borderId="22" xfId="3" applyFont="1" applyFill="1" applyBorder="1"/>
    <xf numFmtId="0" fontId="12" fillId="2" borderId="23" xfId="3" applyFont="1" applyFill="1" applyBorder="1"/>
    <xf numFmtId="0" fontId="12" fillId="2" borderId="17" xfId="3" applyFont="1" applyFill="1" applyBorder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5" fillId="2" borderId="0" xfId="3" applyFill="1"/>
    <xf numFmtId="0" fontId="18" fillId="2" borderId="0" xfId="3" applyFont="1" applyFill="1"/>
    <xf numFmtId="0" fontId="5" fillId="2" borderId="0" xfId="3" applyFill="1" applyProtection="1">
      <protection locked="0"/>
    </xf>
    <xf numFmtId="0" fontId="10" fillId="2" borderId="0" xfId="3" applyFont="1" applyFill="1" applyAlignment="1">
      <alignment horizontal="center"/>
    </xf>
    <xf numFmtId="0" fontId="5" fillId="2" borderId="5" xfId="3" applyFill="1" applyBorder="1" applyProtection="1">
      <protection locked="0"/>
    </xf>
    <xf numFmtId="0" fontId="5" fillId="2" borderId="0" xfId="3" applyFill="1" applyAlignment="1" applyProtection="1">
      <alignment horizontal="center"/>
      <protection locked="0"/>
    </xf>
    <xf numFmtId="49" fontId="10" fillId="3" borderId="9" xfId="7" applyNumberFormat="1" applyFont="1" applyFill="1" applyBorder="1" applyAlignment="1" applyProtection="1">
      <alignment horizontal="left" vertical="top" wrapText="1"/>
    </xf>
    <xf numFmtId="49" fontId="10" fillId="3" borderId="4" xfId="7" applyNumberFormat="1" applyFont="1" applyFill="1" applyBorder="1" applyAlignment="1" applyProtection="1">
      <alignment horizontal="left" vertical="top" wrapText="1" indent="2"/>
    </xf>
    <xf numFmtId="49" fontId="10" fillId="0" borderId="4" xfId="7" applyNumberFormat="1" applyFont="1" applyBorder="1" applyAlignment="1" applyProtection="1">
      <alignment horizontal="left" vertical="top" wrapText="1" indent="2"/>
    </xf>
    <xf numFmtId="49" fontId="10" fillId="3" borderId="4" xfId="7" applyNumberFormat="1" applyFont="1" applyFill="1" applyBorder="1" applyAlignment="1" applyProtection="1">
      <alignment horizontal="left" vertical="top" wrapText="1"/>
    </xf>
    <xf numFmtId="49" fontId="10" fillId="2" borderId="4" xfId="7" applyNumberFormat="1" applyFont="1" applyFill="1" applyBorder="1" applyAlignment="1" applyProtection="1">
      <alignment horizontal="left" vertical="top" wrapText="1" indent="2"/>
    </xf>
    <xf numFmtId="0" fontId="0" fillId="2" borderId="6" xfId="0" applyFill="1" applyBorder="1"/>
    <xf numFmtId="49" fontId="17" fillId="2" borderId="6" xfId="6" applyNumberFormat="1" applyFont="1" applyFill="1" applyBorder="1" applyAlignment="1" applyProtection="1">
      <alignment vertical="top"/>
    </xf>
    <xf numFmtId="0" fontId="25" fillId="2" borderId="0" xfId="0" applyFont="1" applyFill="1"/>
    <xf numFmtId="9" fontId="19" fillId="2" borderId="12" xfId="2" applyFont="1" applyFill="1" applyBorder="1" applyAlignment="1" applyProtection="1">
      <alignment horizontal="left" vertical="top" wrapText="1"/>
    </xf>
    <xf numFmtId="49" fontId="19" fillId="0" borderId="26" xfId="7" applyNumberFormat="1" applyFont="1" applyBorder="1" applyAlignment="1" applyProtection="1">
      <alignment horizontal="left" vertical="top" wrapText="1"/>
    </xf>
    <xf numFmtId="171" fontId="19" fillId="2" borderId="12" xfId="2" applyNumberFormat="1" applyFont="1" applyFill="1" applyBorder="1" applyAlignment="1" applyProtection="1">
      <alignment horizontal="left" vertical="top" wrapText="1"/>
    </xf>
    <xf numFmtId="9" fontId="0" fillId="2" borderId="0" xfId="2" applyFont="1" applyFill="1"/>
    <xf numFmtId="49" fontId="19" fillId="2" borderId="27" xfId="7" applyNumberFormat="1" applyFont="1" applyFill="1" applyBorder="1" applyAlignment="1" applyProtection="1">
      <alignment horizontal="left" vertical="top" wrapText="1"/>
    </xf>
    <xf numFmtId="171" fontId="19" fillId="2" borderId="26" xfId="2" applyNumberFormat="1" applyFont="1" applyFill="1" applyBorder="1" applyAlignment="1" applyProtection="1">
      <alignment horizontal="left" vertical="top" wrapText="1"/>
    </xf>
    <xf numFmtId="171" fontId="0" fillId="2" borderId="0" xfId="2" applyNumberFormat="1" applyFont="1" applyFill="1"/>
    <xf numFmtId="171" fontId="19" fillId="2" borderId="15" xfId="2" applyNumberFormat="1" applyFont="1" applyFill="1" applyBorder="1" applyAlignment="1" applyProtection="1">
      <alignment horizontal="left" vertical="center"/>
    </xf>
    <xf numFmtId="171" fontId="19" fillId="2" borderId="13" xfId="2" applyNumberFormat="1" applyFont="1" applyFill="1" applyBorder="1" applyAlignment="1" applyProtection="1">
      <alignment horizontal="left" vertical="center"/>
    </xf>
    <xf numFmtId="0" fontId="24" fillId="2" borderId="0" xfId="0" applyFont="1" applyFill="1"/>
    <xf numFmtId="168" fontId="0" fillId="2" borderId="0" xfId="0" applyNumberFormat="1" applyFill="1"/>
    <xf numFmtId="0" fontId="0" fillId="0" borderId="6" xfId="0" applyBorder="1"/>
    <xf numFmtId="167" fontId="26" fillId="3" borderId="6" xfId="0" applyNumberFormat="1" applyFont="1" applyFill="1" applyBorder="1"/>
    <xf numFmtId="0" fontId="6" fillId="2" borderId="0" xfId="3" applyFont="1" applyFill="1" applyAlignment="1">
      <alignment horizontal="left" vertical="top" wrapText="1"/>
    </xf>
    <xf numFmtId="0" fontId="6" fillId="2" borderId="20" xfId="3" applyFont="1" applyFill="1" applyBorder="1" applyAlignment="1">
      <alignment horizontal="left" vertical="top" wrapText="1"/>
    </xf>
    <xf numFmtId="0" fontId="6" fillId="2" borderId="0" xfId="3" applyFont="1" applyFill="1" applyAlignment="1">
      <alignment horizontal="left" vertical="top" wrapText="1" indent="5"/>
    </xf>
    <xf numFmtId="0" fontId="13" fillId="2" borderId="0" xfId="3" applyFont="1" applyFill="1" applyAlignment="1">
      <alignment horizontal="left" vertical="top" wrapText="1"/>
    </xf>
    <xf numFmtId="0" fontId="28" fillId="0" borderId="0" xfId="0" applyFont="1"/>
    <xf numFmtId="0" fontId="28" fillId="2" borderId="0" xfId="0" applyFont="1" applyFill="1"/>
    <xf numFmtId="0" fontId="29" fillId="2" borderId="0" xfId="0" applyFont="1" applyFill="1" applyAlignment="1">
      <alignment horizontal="left" vertical="top"/>
    </xf>
    <xf numFmtId="0" fontId="30" fillId="2" borderId="0" xfId="0" applyFont="1" applyFill="1"/>
    <xf numFmtId="0" fontId="8" fillId="2" borderId="0" xfId="0" applyFont="1" applyFill="1"/>
    <xf numFmtId="0" fontId="31" fillId="2" borderId="16" xfId="3" applyFont="1" applyFill="1" applyBorder="1" applyAlignment="1">
      <alignment horizontal="left" vertical="center" indent="1"/>
    </xf>
    <xf numFmtId="0" fontId="31" fillId="2" borderId="17" xfId="3" applyFont="1" applyFill="1" applyBorder="1" applyAlignment="1">
      <alignment horizontal="left" vertical="center" indent="1"/>
    </xf>
    <xf numFmtId="0" fontId="31" fillId="2" borderId="18" xfId="3" applyFont="1" applyFill="1" applyBorder="1" applyAlignment="1">
      <alignment horizontal="left" vertical="center" indent="1"/>
    </xf>
    <xf numFmtId="0" fontId="31" fillId="5" borderId="0" xfId="3" applyFont="1" applyFill="1" applyAlignment="1">
      <alignment horizontal="left" vertical="center" indent="1"/>
    </xf>
    <xf numFmtId="0" fontId="31" fillId="5" borderId="20" xfId="3" applyFont="1" applyFill="1" applyBorder="1" applyAlignment="1">
      <alignment horizontal="left" vertical="center" indent="1"/>
    </xf>
    <xf numFmtId="0" fontId="28" fillId="2" borderId="19" xfId="0" applyFont="1" applyFill="1" applyBorder="1"/>
    <xf numFmtId="0" fontId="28" fillId="2" borderId="17" xfId="0" applyFont="1" applyFill="1" applyBorder="1"/>
    <xf numFmtId="0" fontId="32" fillId="5" borderId="19" xfId="3" applyFont="1" applyFill="1" applyBorder="1" applyAlignment="1">
      <alignment horizontal="left" vertical="center" indent="1"/>
    </xf>
    <xf numFmtId="0" fontId="33" fillId="2" borderId="0" xfId="0" applyFont="1" applyFill="1"/>
    <xf numFmtId="0" fontId="32" fillId="5" borderId="1" xfId="3" applyFont="1" applyFill="1" applyBorder="1" applyAlignment="1">
      <alignment vertical="center"/>
    </xf>
    <xf numFmtId="0" fontId="31" fillId="5" borderId="2" xfId="3" applyFont="1" applyFill="1" applyBorder="1" applyAlignment="1">
      <alignment vertical="center"/>
    </xf>
    <xf numFmtId="0" fontId="31" fillId="2" borderId="0" xfId="3" applyFont="1" applyFill="1" applyAlignment="1">
      <alignment horizontal="left" vertical="center" indent="1"/>
    </xf>
    <xf numFmtId="170" fontId="10" fillId="3" borderId="10" xfId="14" applyNumberFormat="1" applyFont="1" applyFill="1" applyBorder="1" applyAlignment="1">
      <alignment horizontal="left" vertical="center"/>
    </xf>
    <xf numFmtId="0" fontId="32" fillId="5" borderId="2" xfId="3" applyFont="1" applyFill="1" applyBorder="1" applyAlignment="1">
      <alignment vertical="center"/>
    </xf>
    <xf numFmtId="0" fontId="28" fillId="2" borderId="6" xfId="0" applyFont="1" applyFill="1" applyBorder="1"/>
    <xf numFmtId="0" fontId="29" fillId="2" borderId="6" xfId="0" applyFont="1" applyFill="1" applyBorder="1"/>
    <xf numFmtId="0" fontId="2" fillId="2" borderId="6" xfId="0" applyFont="1" applyFill="1" applyBorder="1"/>
    <xf numFmtId="0" fontId="35" fillId="2" borderId="6" xfId="0" applyFont="1" applyFill="1" applyBorder="1"/>
    <xf numFmtId="0" fontId="30" fillId="2" borderId="6" xfId="0" applyFont="1" applyFill="1" applyBorder="1"/>
    <xf numFmtId="0" fontId="1" fillId="2" borderId="0" xfId="0" applyFont="1" applyFill="1"/>
    <xf numFmtId="0" fontId="38" fillId="7" borderId="6" xfId="0" applyFont="1" applyFill="1" applyBorder="1" applyAlignment="1">
      <alignment horizontal="center" vertical="center"/>
    </xf>
    <xf numFmtId="0" fontId="37" fillId="7" borderId="6" xfId="0" applyFont="1" applyFill="1" applyBorder="1" applyAlignment="1">
      <alignment horizontal="center" vertical="center"/>
    </xf>
    <xf numFmtId="0" fontId="39" fillId="11" borderId="6" xfId="0" applyFont="1" applyFill="1" applyBorder="1"/>
    <xf numFmtId="0" fontId="2" fillId="4" borderId="6" xfId="0" applyFont="1" applyFill="1" applyBorder="1"/>
    <xf numFmtId="0" fontId="2" fillId="3" borderId="6" xfId="0" applyFont="1" applyFill="1" applyBorder="1"/>
    <xf numFmtId="49" fontId="40" fillId="2" borderId="6" xfId="6" applyNumberFormat="1" applyFont="1" applyFill="1" applyBorder="1" applyAlignment="1" applyProtection="1">
      <alignment vertical="top"/>
    </xf>
    <xf numFmtId="0" fontId="41" fillId="2" borderId="6" xfId="0" applyFont="1" applyFill="1" applyBorder="1"/>
    <xf numFmtId="0" fontId="39" fillId="2" borderId="0" xfId="0" applyFont="1" applyFill="1"/>
    <xf numFmtId="171" fontId="39" fillId="2" borderId="0" xfId="2" applyNumberFormat="1" applyFont="1" applyFill="1"/>
    <xf numFmtId="0" fontId="42" fillId="2" borderId="0" xfId="0" applyFont="1" applyFill="1"/>
    <xf numFmtId="0" fontId="38" fillId="11" borderId="6" xfId="0" applyFont="1" applyFill="1" applyBorder="1" applyAlignment="1">
      <alignment horizontal="center" vertical="center"/>
    </xf>
    <xf numFmtId="0" fontId="37" fillId="11" borderId="6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2" fillId="3" borderId="8" xfId="0" applyFont="1" applyFill="1" applyBorder="1"/>
    <xf numFmtId="0" fontId="43" fillId="13" borderId="24" xfId="0" applyFont="1" applyFill="1" applyBorder="1" applyAlignment="1">
      <alignment vertical="center"/>
    </xf>
    <xf numFmtId="0" fontId="43" fillId="13" borderId="24" xfId="0" applyFont="1" applyFill="1" applyBorder="1"/>
    <xf numFmtId="0" fontId="2" fillId="3" borderId="11" xfId="0" applyFont="1" applyFill="1" applyBorder="1"/>
    <xf numFmtId="49" fontId="40" fillId="2" borderId="0" xfId="6" applyNumberFormat="1" applyFont="1" applyFill="1" applyAlignment="1" applyProtection="1">
      <alignment vertical="top"/>
    </xf>
    <xf numFmtId="0" fontId="41" fillId="2" borderId="0" xfId="0" applyFont="1" applyFill="1"/>
    <xf numFmtId="0" fontId="5" fillId="2" borderId="0" xfId="0" applyFont="1" applyFill="1"/>
    <xf numFmtId="171" fontId="42" fillId="2" borderId="0" xfId="2" applyNumberFormat="1" applyFont="1" applyFill="1"/>
    <xf numFmtId="0" fontId="37" fillId="7" borderId="8" xfId="0" applyFont="1" applyFill="1" applyBorder="1" applyAlignment="1">
      <alignment horizontal="center" vertical="center"/>
    </xf>
    <xf numFmtId="0" fontId="2" fillId="0" borderId="6" xfId="0" applyFont="1" applyBorder="1"/>
    <xf numFmtId="0" fontId="2" fillId="11" borderId="6" xfId="0" applyFont="1" applyFill="1" applyBorder="1"/>
    <xf numFmtId="0" fontId="1" fillId="0" borderId="6" xfId="0" applyFont="1" applyBorder="1"/>
    <xf numFmtId="0" fontId="2" fillId="7" borderId="6" xfId="0" applyFont="1" applyFill="1" applyBorder="1"/>
    <xf numFmtId="0" fontId="47" fillId="11" borderId="6" xfId="0" applyFont="1" applyFill="1" applyBorder="1" applyAlignment="1">
      <alignment horizontal="center"/>
    </xf>
    <xf numFmtId="0" fontId="37" fillId="11" borderId="6" xfId="0" applyFont="1" applyFill="1" applyBorder="1" applyAlignment="1">
      <alignment horizontal="center"/>
    </xf>
    <xf numFmtId="0" fontId="2" fillId="0" borderId="0" xfId="0" applyFont="1"/>
    <xf numFmtId="0" fontId="2" fillId="4" borderId="6" xfId="0" applyFont="1" applyFill="1" applyBorder="1" applyAlignment="1">
      <alignment horizontal="left"/>
    </xf>
    <xf numFmtId="0" fontId="43" fillId="4" borderId="6" xfId="0" applyFont="1" applyFill="1" applyBorder="1"/>
    <xf numFmtId="0" fontId="48" fillId="7" borderId="6" xfId="0" applyFont="1" applyFill="1" applyBorder="1"/>
    <xf numFmtId="1" fontId="2" fillId="12" borderId="6" xfId="0" applyNumberFormat="1" applyFont="1" applyFill="1" applyBorder="1"/>
    <xf numFmtId="1" fontId="2" fillId="3" borderId="6" xfId="0" applyNumberFormat="1" applyFont="1" applyFill="1" applyBorder="1" applyAlignment="1">
      <alignment horizontal="center" vertical="center"/>
    </xf>
    <xf numFmtId="0" fontId="48" fillId="16" borderId="11" xfId="0" applyFont="1" applyFill="1" applyBorder="1" applyAlignment="1">
      <alignment horizontal="center" vertical="center" wrapText="1"/>
    </xf>
    <xf numFmtId="0" fontId="48" fillId="16" borderId="6" xfId="0" applyFont="1" applyFill="1" applyBorder="1" applyAlignment="1">
      <alignment horizontal="center" wrapText="1"/>
    </xf>
    <xf numFmtId="0" fontId="5" fillId="2" borderId="6" xfId="0" applyFont="1" applyFill="1" applyBorder="1"/>
    <xf numFmtId="0" fontId="2" fillId="13" borderId="6" xfId="0" applyFont="1" applyFill="1" applyBorder="1"/>
    <xf numFmtId="0" fontId="2" fillId="17" borderId="6" xfId="0" applyFont="1" applyFill="1" applyBorder="1" applyAlignment="1">
      <alignment horizontal="left"/>
    </xf>
    <xf numFmtId="0" fontId="2" fillId="13" borderId="6" xfId="0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left" vertical="center" wrapText="1"/>
    </xf>
    <xf numFmtId="0" fontId="42" fillId="2" borderId="0" xfId="0" applyFont="1" applyFill="1" applyAlignment="1">
      <alignment horizontal="left" vertical="top"/>
    </xf>
    <xf numFmtId="0" fontId="42" fillId="2" borderId="0" xfId="0" applyFont="1" applyFill="1" applyAlignment="1">
      <alignment horizontal="center"/>
    </xf>
    <xf numFmtId="172" fontId="42" fillId="12" borderId="6" xfId="0" applyNumberFormat="1" applyFont="1" applyFill="1" applyBorder="1"/>
    <xf numFmtId="169" fontId="10" fillId="2" borderId="0" xfId="14" applyNumberFormat="1" applyFont="1" applyFill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5" fillId="4" borderId="6" xfId="0" applyFont="1" applyFill="1" applyBorder="1" applyAlignment="1">
      <alignment horizontal="left" vertical="center"/>
    </xf>
    <xf numFmtId="0" fontId="28" fillId="2" borderId="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34" fillId="11" borderId="6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43" fillId="2" borderId="6" xfId="0" applyFont="1" applyFill="1" applyBorder="1" applyAlignment="1">
      <alignment horizontal="left" vertical="center"/>
    </xf>
    <xf numFmtId="0" fontId="35" fillId="2" borderId="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43" fillId="2" borderId="11" xfId="0" applyFont="1" applyFill="1" applyBorder="1" applyAlignment="1">
      <alignment horizontal="left" vertical="center"/>
    </xf>
    <xf numFmtId="0" fontId="42" fillId="2" borderId="9" xfId="0" applyFont="1" applyFill="1" applyBorder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4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left" vertical="center"/>
    </xf>
    <xf numFmtId="0" fontId="2" fillId="11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40" fillId="3" borderId="6" xfId="0" applyNumberFormat="1" applyFont="1" applyFill="1" applyBorder="1" applyAlignment="1">
      <alignment horizontal="left"/>
    </xf>
    <xf numFmtId="167" fontId="2" fillId="4" borderId="6" xfId="0" applyNumberFormat="1" applyFont="1" applyFill="1" applyBorder="1" applyAlignment="1">
      <alignment horizontal="left"/>
    </xf>
    <xf numFmtId="167" fontId="2" fillId="3" borderId="6" xfId="0" applyNumberFormat="1" applyFont="1" applyFill="1" applyBorder="1" applyAlignment="1">
      <alignment horizontal="left"/>
    </xf>
    <xf numFmtId="171" fontId="2" fillId="3" borderId="6" xfId="2" applyNumberFormat="1" applyFont="1" applyFill="1" applyBorder="1" applyAlignment="1">
      <alignment horizontal="left"/>
    </xf>
    <xf numFmtId="171" fontId="2" fillId="4" borderId="6" xfId="2" applyNumberFormat="1" applyFont="1" applyFill="1" applyBorder="1" applyAlignment="1">
      <alignment horizontal="left"/>
    </xf>
    <xf numFmtId="0" fontId="2" fillId="1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71" fontId="46" fillId="7" borderId="6" xfId="2" applyNumberFormat="1" applyFont="1" applyFill="1" applyBorder="1" applyAlignment="1">
      <alignment horizontal="left"/>
    </xf>
    <xf numFmtId="171" fontId="47" fillId="7" borderId="6" xfId="2" applyNumberFormat="1" applyFont="1" applyFill="1" applyBorder="1" applyAlignment="1">
      <alignment horizontal="left"/>
    </xf>
    <xf numFmtId="171" fontId="42" fillId="7" borderId="6" xfId="2" applyNumberFormat="1" applyFont="1" applyFill="1" applyBorder="1" applyAlignment="1">
      <alignment horizontal="left"/>
    </xf>
    <xf numFmtId="171" fontId="2" fillId="3" borderId="6" xfId="2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17" borderId="0" xfId="0" applyFont="1" applyFill="1" applyAlignment="1">
      <alignment horizontal="left"/>
    </xf>
    <xf numFmtId="171" fontId="5" fillId="3" borderId="6" xfId="2" applyNumberFormat="1" applyFont="1" applyFill="1" applyBorder="1" applyAlignment="1">
      <alignment horizontal="center" vertical="center"/>
    </xf>
    <xf numFmtId="171" fontId="5" fillId="12" borderId="6" xfId="2" applyNumberFormat="1" applyFont="1" applyFill="1" applyBorder="1" applyAlignment="1">
      <alignment horizontal="center" vertical="center"/>
    </xf>
    <xf numFmtId="171" fontId="2" fillId="3" borderId="6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11" xfId="0" applyFont="1" applyFill="1" applyBorder="1"/>
    <xf numFmtId="0" fontId="2" fillId="3" borderId="0" xfId="0" applyFont="1" applyFill="1"/>
    <xf numFmtId="0" fontId="2" fillId="2" borderId="29" xfId="0" applyFont="1" applyFill="1" applyBorder="1"/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2" fillId="4" borderId="0" xfId="0" applyFont="1" applyFill="1" applyAlignment="1">
      <alignment horizontal="left" vertical="center"/>
    </xf>
    <xf numFmtId="0" fontId="42" fillId="2" borderId="29" xfId="0" applyFont="1" applyFill="1" applyBorder="1"/>
    <xf numFmtId="0" fontId="43" fillId="4" borderId="0" xfId="0" applyFont="1" applyFill="1"/>
    <xf numFmtId="0" fontId="48" fillId="7" borderId="6" xfId="0" applyFont="1" applyFill="1" applyBorder="1" applyAlignment="1">
      <alignment horizontal="center" vertical="center"/>
    </xf>
    <xf numFmtId="0" fontId="47" fillId="7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top" wrapText="1"/>
    </xf>
    <xf numFmtId="0" fontId="2" fillId="17" borderId="6" xfId="0" applyFont="1" applyFill="1" applyBorder="1" applyAlignment="1">
      <alignment horizontal="left" vertical="center"/>
    </xf>
    <xf numFmtId="0" fontId="2" fillId="13" borderId="0" xfId="0" applyFont="1" applyFill="1" applyAlignment="1">
      <alignment horizontal="left" vertical="center"/>
    </xf>
    <xf numFmtId="0" fontId="36" fillId="7" borderId="6" xfId="0" applyFont="1" applyFill="1" applyBorder="1"/>
    <xf numFmtId="171" fontId="35" fillId="7" borderId="6" xfId="2" applyNumberFormat="1" applyFont="1" applyFill="1" applyBorder="1" applyAlignment="1">
      <alignment horizontal="left"/>
    </xf>
    <xf numFmtId="0" fontId="56" fillId="2" borderId="6" xfId="0" applyFont="1" applyFill="1" applyBorder="1" applyAlignment="1">
      <alignment horizontal="left" vertical="center"/>
    </xf>
    <xf numFmtId="167" fontId="2" fillId="3" borderId="6" xfId="0" applyNumberFormat="1" applyFont="1" applyFill="1" applyBorder="1" applyAlignment="1">
      <alignment horizontal="left" vertical="center"/>
    </xf>
    <xf numFmtId="167" fontId="2" fillId="2" borderId="6" xfId="0" applyNumberFormat="1" applyFont="1" applyFill="1" applyBorder="1" applyAlignment="1">
      <alignment horizontal="left" vertical="center"/>
    </xf>
    <xf numFmtId="171" fontId="2" fillId="2" borderId="6" xfId="2" applyNumberFormat="1" applyFont="1" applyFill="1" applyBorder="1" applyAlignment="1">
      <alignment horizontal="left" vertical="center"/>
    </xf>
    <xf numFmtId="0" fontId="2" fillId="2" borderId="8" xfId="0" applyFont="1" applyFill="1" applyBorder="1"/>
    <xf numFmtId="171" fontId="10" fillId="3" borderId="6" xfId="2" applyNumberFormat="1" applyFont="1" applyFill="1" applyBorder="1" applyAlignment="1">
      <alignment horizontal="left" vertical="center"/>
    </xf>
    <xf numFmtId="0" fontId="57" fillId="2" borderId="0" xfId="0" applyFont="1" applyFill="1"/>
    <xf numFmtId="0" fontId="53" fillId="17" borderId="6" xfId="0" applyFont="1" applyFill="1" applyBorder="1"/>
    <xf numFmtId="0" fontId="58" fillId="2" borderId="0" xfId="0" applyFont="1" applyFill="1"/>
    <xf numFmtId="0" fontId="59" fillId="2" borderId="0" xfId="0" applyFont="1" applyFill="1"/>
    <xf numFmtId="0" fontId="60" fillId="2" borderId="0" xfId="0" applyFont="1" applyFill="1"/>
    <xf numFmtId="0" fontId="61" fillId="2" borderId="0" xfId="0" applyFont="1" applyFill="1"/>
    <xf numFmtId="178" fontId="2" fillId="3" borderId="6" xfId="13" applyNumberFormat="1" applyFont="1" applyFill="1" applyBorder="1" applyAlignment="1" applyProtection="1">
      <alignment horizontal="left" vertical="center"/>
    </xf>
    <xf numFmtId="165" fontId="30" fillId="2" borderId="6" xfId="15" applyFont="1" applyFill="1" applyBorder="1" applyAlignment="1">
      <alignment horizontal="left" vertical="center"/>
    </xf>
    <xf numFmtId="165" fontId="27" fillId="2" borderId="6" xfId="15" applyFont="1" applyFill="1" applyBorder="1" applyAlignment="1">
      <alignment horizontal="left" vertical="center"/>
    </xf>
    <xf numFmtId="165" fontId="2" fillId="4" borderId="6" xfId="15" applyFont="1" applyFill="1" applyBorder="1" applyAlignment="1">
      <alignment horizontal="left"/>
    </xf>
    <xf numFmtId="165" fontId="2" fillId="3" borderId="6" xfId="15" applyFont="1" applyFill="1" applyBorder="1" applyAlignment="1">
      <alignment horizontal="left"/>
    </xf>
    <xf numFmtId="165" fontId="2" fillId="12" borderId="6" xfId="15" applyFont="1" applyFill="1" applyBorder="1" applyAlignment="1">
      <alignment horizontal="left"/>
    </xf>
    <xf numFmtId="0" fontId="9" fillId="3" borderId="37" xfId="3" applyFont="1" applyFill="1" applyBorder="1" applyAlignment="1">
      <alignment horizontal="center" vertical="center"/>
    </xf>
    <xf numFmtId="0" fontId="9" fillId="3" borderId="37" xfId="3" applyFont="1" applyFill="1" applyBorder="1" applyAlignment="1">
      <alignment wrapText="1"/>
    </xf>
    <xf numFmtId="0" fontId="9" fillId="3" borderId="38" xfId="3" applyFont="1" applyFill="1" applyBorder="1" applyAlignment="1">
      <alignment wrapText="1"/>
    </xf>
    <xf numFmtId="0" fontId="9" fillId="3" borderId="38" xfId="3" applyFont="1" applyFill="1" applyBorder="1"/>
    <xf numFmtId="0" fontId="10" fillId="3" borderId="38" xfId="3" applyFont="1" applyFill="1" applyBorder="1" applyAlignment="1">
      <alignment horizontal="left" vertical="center" indent="3"/>
    </xf>
    <xf numFmtId="0" fontId="10" fillId="3" borderId="39" xfId="3" applyFont="1" applyFill="1" applyBorder="1" applyAlignment="1">
      <alignment horizontal="left" vertical="center" indent="3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3" fillId="4" borderId="11" xfId="0" applyFont="1" applyFill="1" applyBorder="1"/>
    <xf numFmtId="0" fontId="2" fillId="2" borderId="9" xfId="0" applyFont="1" applyFill="1" applyBorder="1"/>
    <xf numFmtId="49" fontId="62" fillId="2" borderId="6" xfId="6" applyNumberFormat="1" applyFont="1" applyFill="1" applyBorder="1" applyAlignment="1" applyProtection="1">
      <alignment vertical="top"/>
    </xf>
    <xf numFmtId="165" fontId="41" fillId="13" borderId="6" xfId="15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center" vertical="center"/>
    </xf>
    <xf numFmtId="179" fontId="41" fillId="18" borderId="6" xfId="15" applyNumberFormat="1" applyFont="1" applyFill="1" applyBorder="1" applyAlignment="1">
      <alignment horizontal="left" vertical="center"/>
    </xf>
    <xf numFmtId="179" fontId="2" fillId="2" borderId="6" xfId="15" applyNumberFormat="1" applyFont="1" applyFill="1" applyBorder="1" applyAlignment="1">
      <alignment horizontal="left" vertical="center"/>
    </xf>
    <xf numFmtId="179" fontId="5" fillId="12" borderId="6" xfId="15" applyNumberFormat="1" applyFont="1" applyFill="1" applyBorder="1" applyAlignment="1">
      <alignment horizontal="left" vertical="center"/>
    </xf>
    <xf numFmtId="168" fontId="8" fillId="22" borderId="7" xfId="13" applyNumberFormat="1" applyFont="1" applyFill="1" applyBorder="1" applyAlignment="1" applyProtection="1">
      <alignment vertical="center"/>
      <protection locked="0"/>
    </xf>
    <xf numFmtId="171" fontId="2" fillId="13" borderId="6" xfId="2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67" fontId="2" fillId="13" borderId="6" xfId="0" applyNumberFormat="1" applyFont="1" applyFill="1" applyBorder="1" applyAlignment="1">
      <alignment horizontal="left" vertical="center"/>
    </xf>
    <xf numFmtId="179" fontId="44" fillId="13" borderId="24" xfId="15" applyNumberFormat="1" applyFont="1" applyFill="1" applyBorder="1" applyAlignment="1">
      <alignment horizontal="left" vertical="center"/>
    </xf>
    <xf numFmtId="179" fontId="5" fillId="12" borderId="8" xfId="15" applyNumberFormat="1" applyFont="1" applyFill="1" applyBorder="1" applyAlignment="1">
      <alignment horizontal="left" vertical="center"/>
    </xf>
    <xf numFmtId="179" fontId="5" fillId="12" borderId="11" xfId="15" applyNumberFormat="1" applyFont="1" applyFill="1" applyBorder="1" applyAlignment="1">
      <alignment horizontal="left" vertical="center"/>
    </xf>
    <xf numFmtId="179" fontId="28" fillId="2" borderId="0" xfId="15" applyNumberFormat="1" applyFont="1" applyFill="1" applyAlignment="1">
      <alignment horizontal="left" vertical="center"/>
    </xf>
    <xf numFmtId="179" fontId="41" fillId="18" borderId="0" xfId="15" applyNumberFormat="1" applyFont="1" applyFill="1" applyAlignment="1">
      <alignment horizontal="left" vertical="center"/>
    </xf>
    <xf numFmtId="0" fontId="0" fillId="2" borderId="6" xfId="0" applyFill="1" applyBorder="1" applyAlignment="1">
      <alignment horizontal="right"/>
    </xf>
    <xf numFmtId="179" fontId="44" fillId="2" borderId="6" xfId="15" applyNumberFormat="1" applyFont="1" applyFill="1" applyBorder="1" applyAlignment="1">
      <alignment horizontal="left" vertical="center"/>
    </xf>
    <xf numFmtId="179" fontId="45" fillId="2" borderId="6" xfId="15" applyNumberFormat="1" applyFont="1" applyFill="1" applyBorder="1" applyAlignment="1">
      <alignment horizontal="left" vertical="center"/>
    </xf>
    <xf numFmtId="179" fontId="47" fillId="11" borderId="6" xfId="15" applyNumberFormat="1" applyFont="1" applyFill="1" applyBorder="1" applyAlignment="1">
      <alignment horizontal="left" vertical="center"/>
    </xf>
    <xf numFmtId="179" fontId="50" fillId="12" borderId="6" xfId="15" applyNumberFormat="1" applyFont="1" applyFill="1" applyBorder="1" applyAlignment="1">
      <alignment horizontal="left" vertical="center"/>
    </xf>
    <xf numFmtId="179" fontId="5" fillId="2" borderId="0" xfId="15" applyNumberFormat="1" applyFont="1" applyFill="1" applyAlignment="1">
      <alignment horizontal="left" vertical="center"/>
    </xf>
    <xf numFmtId="179" fontId="49" fillId="18" borderId="6" xfId="15" applyNumberFormat="1" applyFont="1" applyFill="1" applyBorder="1" applyAlignment="1">
      <alignment horizontal="left" vertical="center"/>
    </xf>
    <xf numFmtId="179" fontId="50" fillId="17" borderId="6" xfId="15" applyNumberFormat="1" applyFont="1" applyFill="1" applyBorder="1" applyAlignment="1">
      <alignment horizontal="left" vertical="center"/>
    </xf>
    <xf numFmtId="180" fontId="2" fillId="4" borderId="6" xfId="15" applyNumberFormat="1" applyFont="1" applyFill="1" applyBorder="1" applyAlignment="1">
      <alignment horizontal="left"/>
    </xf>
    <xf numFmtId="180" fontId="2" fillId="14" borderId="6" xfId="15" applyNumberFormat="1" applyFont="1" applyFill="1" applyBorder="1" applyAlignment="1">
      <alignment horizontal="left"/>
    </xf>
    <xf numFmtId="180" fontId="2" fillId="3" borderId="6" xfId="15" applyNumberFormat="1" applyFont="1" applyFill="1" applyBorder="1" applyAlignment="1">
      <alignment horizontal="left"/>
    </xf>
    <xf numFmtId="180" fontId="5" fillId="12" borderId="6" xfId="15" applyNumberFormat="1" applyFont="1" applyFill="1" applyBorder="1" applyAlignment="1">
      <alignment horizontal="left"/>
    </xf>
    <xf numFmtId="180" fontId="2" fillId="9" borderId="6" xfId="15" applyNumberFormat="1" applyFont="1" applyFill="1" applyBorder="1" applyAlignment="1">
      <alignment horizontal="left"/>
    </xf>
    <xf numFmtId="179" fontId="2" fillId="4" borderId="6" xfId="15" applyNumberFormat="1" applyFont="1" applyFill="1" applyBorder="1" applyAlignment="1">
      <alignment horizontal="left"/>
    </xf>
    <xf numFmtId="179" fontId="2" fillId="12" borderId="6" xfId="15" applyNumberFormat="1" applyFont="1" applyFill="1" applyBorder="1" applyAlignment="1">
      <alignment horizontal="left"/>
    </xf>
    <xf numFmtId="180" fontId="0" fillId="2" borderId="0" xfId="0" applyNumberFormat="1" applyFill="1"/>
    <xf numFmtId="180" fontId="35" fillId="7" borderId="6" xfId="0" applyNumberFormat="1" applyFont="1" applyFill="1" applyBorder="1" applyAlignment="1">
      <alignment horizontal="left"/>
    </xf>
    <xf numFmtId="171" fontId="2" fillId="14" borderId="6" xfId="2" applyNumberFormat="1" applyFont="1" applyFill="1" applyBorder="1" applyAlignment="1">
      <alignment horizontal="center"/>
    </xf>
    <xf numFmtId="171" fontId="2" fillId="9" borderId="6" xfId="2" applyNumberFormat="1" applyFont="1" applyFill="1" applyBorder="1" applyAlignment="1">
      <alignment horizontal="center"/>
    </xf>
    <xf numFmtId="171" fontId="0" fillId="2" borderId="0" xfId="2" applyNumberFormat="1" applyFont="1" applyFill="1" applyAlignment="1">
      <alignment horizontal="center"/>
    </xf>
    <xf numFmtId="171" fontId="35" fillId="7" borderId="6" xfId="2" applyNumberFormat="1" applyFont="1" applyFill="1" applyBorder="1" applyAlignment="1">
      <alignment horizontal="center"/>
    </xf>
    <xf numFmtId="171" fontId="2" fillId="3" borderId="6" xfId="2" applyNumberFormat="1" applyFont="1" applyFill="1" applyBorder="1" applyAlignment="1">
      <alignment horizontal="center"/>
    </xf>
    <xf numFmtId="171" fontId="2" fillId="4" borderId="6" xfId="2" applyNumberFormat="1" applyFont="1" applyFill="1" applyBorder="1" applyAlignment="1">
      <alignment horizontal="center"/>
    </xf>
    <xf numFmtId="171" fontId="2" fillId="0" borderId="6" xfId="2" applyNumberFormat="1" applyFont="1" applyBorder="1" applyAlignment="1">
      <alignment horizontal="center"/>
    </xf>
    <xf numFmtId="171" fontId="2" fillId="13" borderId="6" xfId="2" applyNumberFormat="1" applyFont="1" applyFill="1" applyBorder="1"/>
    <xf numFmtId="171" fontId="2" fillId="7" borderId="6" xfId="2" applyNumberFormat="1" applyFont="1" applyFill="1" applyBorder="1" applyAlignment="1">
      <alignment horizontal="left"/>
    </xf>
    <xf numFmtId="179" fontId="2" fillId="3" borderId="6" xfId="15" applyNumberFormat="1" applyFont="1" applyFill="1" applyBorder="1" applyAlignment="1">
      <alignment horizontal="left"/>
    </xf>
    <xf numFmtId="179" fontId="2" fillId="0" borderId="6" xfId="0" applyNumberFormat="1" applyFont="1" applyBorder="1" applyAlignment="1">
      <alignment horizontal="left"/>
    </xf>
    <xf numFmtId="180" fontId="2" fillId="0" borderId="6" xfId="0" applyNumberFormat="1" applyFont="1" applyBorder="1" applyAlignment="1">
      <alignment horizontal="left"/>
    </xf>
    <xf numFmtId="179" fontId="2" fillId="7" borderId="6" xfId="15" applyNumberFormat="1" applyFont="1" applyFill="1" applyBorder="1" applyAlignment="1">
      <alignment horizontal="left"/>
    </xf>
    <xf numFmtId="180" fontId="42" fillId="12" borderId="6" xfId="15" applyNumberFormat="1" applyFont="1" applyFill="1" applyBorder="1" applyAlignment="1">
      <alignment horizontal="left"/>
    </xf>
    <xf numFmtId="180" fontId="47" fillId="11" borderId="6" xfId="15" applyNumberFormat="1" applyFont="1" applyFill="1" applyBorder="1" applyAlignment="1">
      <alignment horizontal="left"/>
    </xf>
    <xf numFmtId="180" fontId="46" fillId="7" borderId="6" xfId="15" applyNumberFormat="1" applyFont="1" applyFill="1" applyBorder="1" applyAlignment="1">
      <alignment horizontal="left"/>
    </xf>
    <xf numFmtId="179" fontId="46" fillId="7" borderId="6" xfId="15" applyNumberFormat="1" applyFont="1" applyFill="1" applyBorder="1" applyAlignment="1">
      <alignment horizontal="left"/>
    </xf>
    <xf numFmtId="180" fontId="47" fillId="7" borderId="6" xfId="15" applyNumberFormat="1" applyFont="1" applyFill="1" applyBorder="1" applyAlignment="1">
      <alignment horizontal="left"/>
    </xf>
    <xf numFmtId="179" fontId="47" fillId="7" borderId="6" xfId="15" applyNumberFormat="1" applyFont="1" applyFill="1" applyBorder="1" applyAlignment="1">
      <alignment horizontal="left"/>
    </xf>
    <xf numFmtId="1" fontId="0" fillId="2" borderId="0" xfId="0" applyNumberFormat="1" applyFill="1"/>
    <xf numFmtId="182" fontId="0" fillId="2" borderId="0" xfId="2" applyNumberFormat="1" applyFont="1" applyFill="1"/>
    <xf numFmtId="171" fontId="28" fillId="2" borderId="6" xfId="2" applyNumberFormat="1" applyFont="1" applyFill="1" applyBorder="1" applyAlignment="1">
      <alignment horizontal="left" vertical="center"/>
    </xf>
    <xf numFmtId="1" fontId="2" fillId="12" borderId="6" xfId="0" applyNumberFormat="1" applyFont="1" applyFill="1" applyBorder="1" applyAlignment="1">
      <alignment horizontal="left" vertical="center"/>
    </xf>
    <xf numFmtId="179" fontId="2" fillId="12" borderId="6" xfId="15" applyNumberFormat="1" applyFont="1" applyFill="1" applyBorder="1" applyAlignment="1">
      <alignment horizontal="left" vertical="center"/>
    </xf>
    <xf numFmtId="180" fontId="2" fillId="3" borderId="6" xfId="15" applyNumberFormat="1" applyFont="1" applyFill="1" applyBorder="1" applyAlignment="1">
      <alignment horizontal="left" vertical="center"/>
    </xf>
    <xf numFmtId="171" fontId="28" fillId="2" borderId="0" xfId="2" applyNumberFormat="1" applyFont="1" applyFill="1"/>
    <xf numFmtId="180" fontId="2" fillId="13" borderId="6" xfId="15" applyNumberFormat="1" applyFont="1" applyFill="1" applyBorder="1" applyAlignment="1">
      <alignment horizontal="left" vertical="center"/>
    </xf>
    <xf numFmtId="179" fontId="2" fillId="13" borderId="6" xfId="15" applyNumberFormat="1" applyFont="1" applyFill="1" applyBorder="1" applyAlignment="1">
      <alignment horizontal="left" vertical="center"/>
    </xf>
    <xf numFmtId="181" fontId="2" fillId="2" borderId="6" xfId="0" applyNumberFormat="1" applyFont="1" applyFill="1" applyBorder="1" applyAlignment="1">
      <alignment horizontal="left" vertical="center"/>
    </xf>
    <xf numFmtId="180" fontId="2" fillId="3" borderId="6" xfId="0" applyNumberFormat="1" applyFont="1" applyFill="1" applyBorder="1" applyAlignment="1">
      <alignment horizontal="left" vertical="center"/>
    </xf>
    <xf numFmtId="179" fontId="2" fillId="12" borderId="6" xfId="0" applyNumberFormat="1" applyFont="1" applyFill="1" applyBorder="1" applyAlignment="1">
      <alignment horizontal="left" vertical="center"/>
    </xf>
    <xf numFmtId="180" fontId="2" fillId="3" borderId="6" xfId="15" applyNumberFormat="1" applyFont="1" applyFill="1" applyBorder="1" applyAlignment="1">
      <alignment horizontal="center" vertical="center"/>
    </xf>
    <xf numFmtId="171" fontId="35" fillId="3" borderId="6" xfId="2" applyNumberFormat="1" applyFont="1" applyFill="1" applyBorder="1" applyAlignment="1">
      <alignment horizontal="left"/>
    </xf>
    <xf numFmtId="171" fontId="35" fillId="3" borderId="11" xfId="2" applyNumberFormat="1" applyFont="1" applyFill="1" applyBorder="1" applyAlignment="1">
      <alignment horizontal="left"/>
    </xf>
    <xf numFmtId="179" fontId="0" fillId="12" borderId="6" xfId="15" applyNumberFormat="1" applyFont="1" applyFill="1" applyBorder="1" applyAlignment="1">
      <alignment horizontal="left"/>
    </xf>
    <xf numFmtId="165" fontId="0" fillId="3" borderId="6" xfId="15" applyFont="1" applyFill="1" applyBorder="1" applyAlignment="1">
      <alignment horizontal="left"/>
    </xf>
    <xf numFmtId="171" fontId="3" fillId="3" borderId="6" xfId="2" applyNumberFormat="1" applyFont="1" applyFill="1" applyBorder="1" applyAlignment="1">
      <alignment horizontal="left"/>
    </xf>
    <xf numFmtId="179" fontId="53" fillId="17" borderId="6" xfId="15" applyNumberFormat="1" applyFont="1" applyFill="1" applyBorder="1" applyAlignment="1">
      <alignment horizontal="left"/>
    </xf>
    <xf numFmtId="180" fontId="53" fillId="17" borderId="6" xfId="15" applyNumberFormat="1" applyFont="1" applyFill="1" applyBorder="1" applyAlignment="1">
      <alignment horizontal="left"/>
    </xf>
    <xf numFmtId="171" fontId="53" fillId="17" borderId="6" xfId="2" applyNumberFormat="1" applyFont="1" applyFill="1" applyBorder="1" applyAlignment="1">
      <alignment horizontal="left"/>
    </xf>
    <xf numFmtId="1" fontId="2" fillId="12" borderId="6" xfId="0" applyNumberFormat="1" applyFont="1" applyFill="1" applyBorder="1" applyAlignment="1">
      <alignment horizontal="left"/>
    </xf>
    <xf numFmtId="1" fontId="2" fillId="13" borderId="6" xfId="0" applyNumberFormat="1" applyFont="1" applyFill="1" applyBorder="1" applyAlignment="1">
      <alignment horizontal="left"/>
    </xf>
    <xf numFmtId="0" fontId="2" fillId="2" borderId="11" xfId="0" applyFont="1" applyFill="1" applyBorder="1" applyAlignment="1">
      <alignment horizontal="center" vertical="center"/>
    </xf>
    <xf numFmtId="180" fontId="0" fillId="2" borderId="0" xfId="0" applyNumberFormat="1" applyFill="1" applyAlignment="1">
      <alignment horizontal="center"/>
    </xf>
    <xf numFmtId="180" fontId="2" fillId="4" borderId="0" xfId="0" applyNumberFormat="1" applyFont="1" applyFill="1" applyAlignment="1">
      <alignment horizontal="center" vertical="center"/>
    </xf>
    <xf numFmtId="180" fontId="2" fillId="3" borderId="8" xfId="15" applyNumberFormat="1" applyFont="1" applyFill="1" applyBorder="1" applyAlignment="1">
      <alignment horizontal="center" vertical="center"/>
    </xf>
    <xf numFmtId="180" fontId="2" fillId="3" borderId="11" xfId="0" applyNumberFormat="1" applyFont="1" applyFill="1" applyBorder="1" applyAlignment="1">
      <alignment horizontal="center" vertical="center"/>
    </xf>
    <xf numFmtId="180" fontId="2" fillId="12" borderId="6" xfId="0" applyNumberFormat="1" applyFont="1" applyFill="1" applyBorder="1" applyAlignment="1">
      <alignment horizontal="center" vertical="center"/>
    </xf>
    <xf numFmtId="171" fontId="5" fillId="6" borderId="6" xfId="2" applyNumberFormat="1" applyFont="1" applyFill="1" applyBorder="1" applyAlignment="1">
      <alignment horizontal="center" vertical="center"/>
    </xf>
    <xf numFmtId="180" fontId="5" fillId="6" borderId="6" xfId="15" applyNumberFormat="1" applyFont="1" applyFill="1" applyBorder="1" applyAlignment="1">
      <alignment horizontal="center" vertical="center"/>
    </xf>
    <xf numFmtId="174" fontId="5" fillId="6" borderId="6" xfId="1" applyNumberFormat="1" applyFont="1" applyFill="1" applyBorder="1" applyAlignment="1">
      <alignment horizontal="center" vertical="center"/>
    </xf>
    <xf numFmtId="176" fontId="5" fillId="6" borderId="6" xfId="1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1" fontId="2" fillId="0" borderId="6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7" fontId="5" fillId="6" borderId="6" xfId="1" applyNumberFormat="1" applyFont="1" applyFill="1" applyBorder="1" applyAlignment="1">
      <alignment horizontal="center" vertical="center"/>
    </xf>
    <xf numFmtId="173" fontId="30" fillId="3" borderId="31" xfId="4" applyNumberFormat="1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5" fontId="2" fillId="2" borderId="8" xfId="15" applyFont="1" applyFill="1" applyBorder="1" applyAlignment="1">
      <alignment horizontal="center" vertical="center"/>
    </xf>
    <xf numFmtId="171" fontId="2" fillId="6" borderId="8" xfId="2" applyNumberFormat="1" applyFont="1" applyFill="1" applyBorder="1" applyAlignment="1">
      <alignment horizontal="center" vertical="center"/>
    </xf>
    <xf numFmtId="165" fontId="2" fillId="2" borderId="11" xfId="15" applyFont="1" applyFill="1" applyBorder="1" applyAlignment="1">
      <alignment horizontal="center" vertical="center"/>
    </xf>
    <xf numFmtId="180" fontId="2" fillId="3" borderId="11" xfId="15" applyNumberFormat="1" applyFont="1" applyFill="1" applyBorder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12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165" fontId="28" fillId="2" borderId="0" xfId="15" applyFont="1" applyFill="1"/>
    <xf numFmtId="175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5" fontId="2" fillId="0" borderId="4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65" fontId="2" fillId="2" borderId="14" xfId="15" applyFont="1" applyFill="1" applyBorder="1" applyAlignment="1">
      <alignment horizontal="center" vertical="center"/>
    </xf>
    <xf numFmtId="165" fontId="2" fillId="2" borderId="9" xfId="15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171" fontId="2" fillId="6" borderId="6" xfId="2" applyNumberFormat="1" applyFont="1" applyFill="1" applyBorder="1" applyAlignment="1">
      <alignment horizontal="center" vertical="center"/>
    </xf>
    <xf numFmtId="167" fontId="2" fillId="3" borderId="6" xfId="0" applyNumberFormat="1" applyFont="1" applyFill="1" applyBorder="1" applyAlignment="1">
      <alignment horizontal="center" vertical="center"/>
    </xf>
    <xf numFmtId="0" fontId="0" fillId="2" borderId="0" xfId="0" applyFill="1" applyProtection="1">
      <protection locked="0" hidden="1"/>
    </xf>
    <xf numFmtId="0" fontId="2" fillId="6" borderId="11" xfId="0" applyFont="1" applyFill="1" applyBorder="1" applyAlignment="1">
      <alignment horizontal="center" vertical="center"/>
    </xf>
    <xf numFmtId="179" fontId="44" fillId="12" borderId="30" xfId="15" applyNumberFormat="1" applyFont="1" applyFill="1" applyBorder="1" applyAlignment="1">
      <alignment horizontal="left" vertical="center"/>
    </xf>
    <xf numFmtId="0" fontId="2" fillId="3" borderId="41" xfId="0" applyFont="1" applyFill="1" applyBorder="1"/>
    <xf numFmtId="179" fontId="5" fillId="12" borderId="41" xfId="15" applyNumberFormat="1" applyFont="1" applyFill="1" applyBorder="1" applyAlignment="1">
      <alignment horizontal="left" vertical="center"/>
    </xf>
    <xf numFmtId="0" fontId="43" fillId="6" borderId="30" xfId="0" applyFont="1" applyFill="1" applyBorder="1" applyAlignment="1">
      <alignment vertical="center"/>
    </xf>
    <xf numFmtId="0" fontId="43" fillId="6" borderId="30" xfId="0" applyFont="1" applyFill="1" applyBorder="1"/>
    <xf numFmtId="0" fontId="63" fillId="2" borderId="0" xfId="0" applyFont="1" applyFill="1" applyAlignment="1">
      <alignment vertical="center"/>
    </xf>
    <xf numFmtId="49" fontId="64" fillId="2" borderId="0" xfId="6" applyNumberFormat="1" applyFont="1" applyFill="1" applyAlignment="1" applyProtection="1">
      <alignment horizontal="left" vertical="top"/>
    </xf>
    <xf numFmtId="0" fontId="65" fillId="2" borderId="0" xfId="0" applyFont="1" applyFill="1"/>
    <xf numFmtId="0" fontId="24" fillId="2" borderId="42" xfId="0" applyFont="1" applyFill="1" applyBorder="1"/>
    <xf numFmtId="0" fontId="66" fillId="2" borderId="35" xfId="0" applyFont="1" applyFill="1" applyBorder="1" applyAlignment="1">
      <alignment vertical="center"/>
    </xf>
    <xf numFmtId="0" fontId="24" fillId="2" borderId="45" xfId="0" applyFont="1" applyFill="1" applyBorder="1"/>
    <xf numFmtId="0" fontId="66" fillId="2" borderId="35" xfId="0" applyFont="1" applyFill="1" applyBorder="1" applyAlignment="1">
      <alignment horizontal="left" vertical="center" indent="2"/>
    </xf>
    <xf numFmtId="0" fontId="66" fillId="2" borderId="48" xfId="0" applyFont="1" applyFill="1" applyBorder="1" applyAlignment="1" applyProtection="1">
      <alignment vertical="center"/>
      <protection locked="0"/>
    </xf>
    <xf numFmtId="0" fontId="24" fillId="2" borderId="49" xfId="0" applyFont="1" applyFill="1" applyBorder="1" applyProtection="1">
      <protection locked="0"/>
    </xf>
    <xf numFmtId="0" fontId="66" fillId="2" borderId="35" xfId="0" applyFont="1" applyFill="1" applyBorder="1" applyAlignment="1">
      <alignment horizontal="left" vertical="center" wrapText="1" indent="2"/>
    </xf>
    <xf numFmtId="0" fontId="66" fillId="2" borderId="35" xfId="0" applyFont="1" applyFill="1" applyBorder="1" applyAlignment="1">
      <alignment vertical="center" wrapText="1"/>
    </xf>
    <xf numFmtId="0" fontId="66" fillId="2" borderId="48" xfId="0" applyFont="1" applyFill="1" applyBorder="1" applyAlignment="1" applyProtection="1">
      <alignment horizontal="left" vertical="center" wrapText="1" indent="2"/>
      <protection locked="0"/>
    </xf>
    <xf numFmtId="0" fontId="66" fillId="2" borderId="35" xfId="0" applyFont="1" applyFill="1" applyBorder="1" applyAlignment="1" applyProtection="1">
      <alignment horizontal="left" vertical="center" wrapText="1" indent="2"/>
      <protection locked="0"/>
    </xf>
    <xf numFmtId="0" fontId="24" fillId="2" borderId="42" xfId="0" applyFont="1" applyFill="1" applyBorder="1" applyProtection="1">
      <protection locked="0"/>
    </xf>
    <xf numFmtId="0" fontId="68" fillId="2" borderId="35" xfId="0" applyFont="1" applyFill="1" applyBorder="1" applyAlignment="1">
      <alignment horizontal="right" vertical="top" wrapText="1" indent="2"/>
    </xf>
    <xf numFmtId="0" fontId="66" fillId="2" borderId="34" xfId="0" applyFont="1" applyFill="1" applyBorder="1" applyAlignment="1">
      <alignment horizontal="left" vertical="center" wrapText="1" indent="2"/>
    </xf>
    <xf numFmtId="0" fontId="24" fillId="2" borderId="54" xfId="0" applyFont="1" applyFill="1" applyBorder="1"/>
    <xf numFmtId="0" fontId="66" fillId="2" borderId="48" xfId="0" applyFont="1" applyFill="1" applyBorder="1" applyAlignment="1" applyProtection="1">
      <alignment vertical="center" wrapText="1"/>
      <protection locked="0"/>
    </xf>
    <xf numFmtId="0" fontId="66" fillId="2" borderId="70" xfId="0" applyFont="1" applyFill="1" applyBorder="1" applyAlignment="1" applyProtection="1">
      <alignment horizontal="left" vertical="center" wrapText="1" indent="2"/>
      <protection locked="0"/>
    </xf>
    <xf numFmtId="0" fontId="24" fillId="2" borderId="71" xfId="0" applyFont="1" applyFill="1" applyBorder="1" applyProtection="1">
      <protection locked="0"/>
    </xf>
    <xf numFmtId="0" fontId="68" fillId="2" borderId="34" xfId="0" applyFont="1" applyFill="1" applyBorder="1" applyAlignment="1" applyProtection="1">
      <alignment horizontal="left" vertical="center" wrapText="1"/>
      <protection locked="0"/>
    </xf>
    <xf numFmtId="0" fontId="24" fillId="2" borderId="54" xfId="0" applyFont="1" applyFill="1" applyBorder="1" applyProtection="1">
      <protection locked="0"/>
    </xf>
    <xf numFmtId="0" fontId="68" fillId="2" borderId="70" xfId="0" applyFont="1" applyFill="1" applyBorder="1" applyAlignment="1" applyProtection="1">
      <alignment vertical="center" wrapText="1"/>
      <protection locked="0"/>
    </xf>
    <xf numFmtId="0" fontId="24" fillId="2" borderId="59" xfId="0" applyFont="1" applyFill="1" applyBorder="1"/>
    <xf numFmtId="0" fontId="68" fillId="2" borderId="57" xfId="0" applyFont="1" applyFill="1" applyBorder="1" applyAlignment="1">
      <alignment horizontal="right" vertical="top" wrapText="1" indent="2"/>
    </xf>
    <xf numFmtId="0" fontId="66" fillId="2" borderId="61" xfId="0" applyFont="1" applyFill="1" applyBorder="1" applyAlignment="1">
      <alignment horizontal="left" vertical="center" wrapText="1" indent="2"/>
    </xf>
    <xf numFmtId="0" fontId="66" fillId="2" borderId="70" xfId="0" applyFont="1" applyFill="1" applyBorder="1" applyAlignment="1" applyProtection="1">
      <alignment vertical="center" wrapText="1"/>
      <protection locked="0"/>
    </xf>
    <xf numFmtId="0" fontId="66" fillId="2" borderId="62" xfId="0" applyFont="1" applyFill="1" applyBorder="1" applyAlignment="1">
      <alignment horizontal="left" vertical="top" wrapText="1" indent="2"/>
    </xf>
    <xf numFmtId="0" fontId="24" fillId="2" borderId="63" xfId="0" applyFont="1" applyFill="1" applyBorder="1"/>
    <xf numFmtId="0" fontId="66" fillId="2" borderId="62" xfId="0" applyFont="1" applyFill="1" applyBorder="1" applyAlignment="1" applyProtection="1">
      <alignment horizontal="left" vertical="top" wrapText="1" indent="2"/>
      <protection locked="0"/>
    </xf>
    <xf numFmtId="0" fontId="24" fillId="2" borderId="63" xfId="0" applyFont="1" applyFill="1" applyBorder="1" applyProtection="1">
      <protection locked="0"/>
    </xf>
    <xf numFmtId="0" fontId="66" fillId="2" borderId="35" xfId="0" applyFont="1" applyFill="1" applyBorder="1" applyAlignment="1">
      <alignment horizontal="left" vertical="top" wrapText="1" indent="2"/>
    </xf>
    <xf numFmtId="0" fontId="24" fillId="2" borderId="42" xfId="0" applyFont="1" applyFill="1" applyBorder="1" applyAlignment="1">
      <alignment vertical="center"/>
    </xf>
    <xf numFmtId="0" fontId="24" fillId="2" borderId="71" xfId="0" applyFont="1" applyFill="1" applyBorder="1" applyAlignment="1" applyProtection="1">
      <alignment vertical="center"/>
      <protection locked="0"/>
    </xf>
    <xf numFmtId="0" fontId="66" fillId="2" borderId="35" xfId="0" applyFont="1" applyFill="1" applyBorder="1" applyAlignment="1" applyProtection="1">
      <alignment vertical="center" wrapText="1"/>
      <protection locked="0"/>
    </xf>
    <xf numFmtId="0" fontId="24" fillId="2" borderId="42" xfId="0" applyFont="1" applyFill="1" applyBorder="1" applyAlignment="1" applyProtection="1">
      <alignment vertical="center"/>
      <protection locked="0"/>
    </xf>
    <xf numFmtId="0" fontId="66" fillId="2" borderId="35" xfId="0" applyFont="1" applyFill="1" applyBorder="1" applyAlignment="1" applyProtection="1">
      <alignment horizontal="left" vertical="top" wrapText="1" indent="2"/>
      <protection locked="0"/>
    </xf>
    <xf numFmtId="0" fontId="66" fillId="2" borderId="75" xfId="0" applyFont="1" applyFill="1" applyBorder="1" applyAlignment="1">
      <alignment horizontal="left" vertical="top" wrapText="1" indent="2"/>
    </xf>
    <xf numFmtId="0" fontId="66" fillId="2" borderId="69" xfId="0" applyFont="1" applyFill="1" applyBorder="1" applyAlignment="1">
      <alignment horizontal="left" vertical="top" wrapText="1" indent="2"/>
    </xf>
    <xf numFmtId="0" fontId="24" fillId="2" borderId="71" xfId="0" applyFont="1" applyFill="1" applyBorder="1"/>
    <xf numFmtId="0" fontId="24" fillId="0" borderId="0" xfId="0" applyFont="1"/>
    <xf numFmtId="0" fontId="48" fillId="11" borderId="4" xfId="0" applyFont="1" applyFill="1" applyBorder="1" applyAlignment="1" applyProtection="1">
      <alignment horizontal="center" vertical="center"/>
      <protection locked="0"/>
    </xf>
    <xf numFmtId="183" fontId="68" fillId="21" borderId="57" xfId="0" applyNumberFormat="1" applyFont="1" applyFill="1" applyBorder="1" applyAlignment="1">
      <alignment horizontal="right" vertical="top" wrapText="1"/>
    </xf>
    <xf numFmtId="183" fontId="68" fillId="21" borderId="57" xfId="0" applyNumberFormat="1" applyFont="1" applyFill="1" applyBorder="1" applyAlignment="1">
      <alignment horizontal="right" vertical="center" wrapText="1"/>
    </xf>
    <xf numFmtId="0" fontId="65" fillId="14" borderId="43" xfId="0" applyFont="1" applyFill="1" applyBorder="1"/>
    <xf numFmtId="0" fontId="65" fillId="14" borderId="0" xfId="0" applyFont="1" applyFill="1"/>
    <xf numFmtId="0" fontId="65" fillId="14" borderId="46" xfId="0" applyFont="1" applyFill="1" applyBorder="1"/>
    <xf numFmtId="0" fontId="65" fillId="14" borderId="47" xfId="0" applyFont="1" applyFill="1" applyBorder="1"/>
    <xf numFmtId="0" fontId="65" fillId="14" borderId="50" xfId="0" applyFont="1" applyFill="1" applyBorder="1" applyProtection="1">
      <protection locked="0"/>
    </xf>
    <xf numFmtId="0" fontId="65" fillId="14" borderId="51" xfId="0" applyFont="1" applyFill="1" applyBorder="1" applyProtection="1">
      <protection locked="0"/>
    </xf>
    <xf numFmtId="0" fontId="67" fillId="14" borderId="43" xfId="0" applyFont="1" applyFill="1" applyBorder="1" applyAlignment="1">
      <alignment horizontal="right"/>
    </xf>
    <xf numFmtId="0" fontId="65" fillId="14" borderId="50" xfId="0" applyFont="1" applyFill="1" applyBorder="1" applyAlignment="1" applyProtection="1">
      <alignment horizontal="left"/>
      <protection locked="0"/>
    </xf>
    <xf numFmtId="0" fontId="65" fillId="14" borderId="43" xfId="0" applyFont="1" applyFill="1" applyBorder="1" applyProtection="1">
      <protection locked="0"/>
    </xf>
    <xf numFmtId="0" fontId="65" fillId="14" borderId="0" xfId="0" applyFont="1" applyFill="1" applyProtection="1">
      <protection locked="0"/>
    </xf>
    <xf numFmtId="0" fontId="65" fillId="14" borderId="55" xfId="0" applyFont="1" applyFill="1" applyBorder="1"/>
    <xf numFmtId="0" fontId="65" fillId="14" borderId="33" xfId="0" applyFont="1" applyFill="1" applyBorder="1"/>
    <xf numFmtId="0" fontId="65" fillId="14" borderId="43" xfId="0" quotePrefix="1" applyFont="1" applyFill="1" applyBorder="1"/>
    <xf numFmtId="0" fontId="65" fillId="14" borderId="42" xfId="0" applyFont="1" applyFill="1" applyBorder="1" applyProtection="1">
      <protection locked="0"/>
    </xf>
    <xf numFmtId="0" fontId="65" fillId="14" borderId="72" xfId="0" applyFont="1" applyFill="1" applyBorder="1" applyProtection="1">
      <protection locked="0"/>
    </xf>
    <xf numFmtId="0" fontId="65" fillId="14" borderId="71" xfId="0" applyFont="1" applyFill="1" applyBorder="1" applyProtection="1">
      <protection locked="0"/>
    </xf>
    <xf numFmtId="0" fontId="65" fillId="14" borderId="55" xfId="0" applyFont="1" applyFill="1" applyBorder="1" applyProtection="1">
      <protection locked="0"/>
    </xf>
    <xf numFmtId="0" fontId="65" fillId="14" borderId="54" xfId="0" applyFont="1" applyFill="1" applyBorder="1" applyProtection="1">
      <protection locked="0"/>
    </xf>
    <xf numFmtId="0" fontId="65" fillId="14" borderId="60" xfId="0" applyFont="1" applyFill="1" applyBorder="1"/>
    <xf numFmtId="0" fontId="65" fillId="14" borderId="58" xfId="0" applyFont="1" applyFill="1" applyBorder="1"/>
    <xf numFmtId="0" fontId="65" fillId="14" borderId="43" xfId="20" quotePrefix="1" applyFont="1" applyFill="1" applyBorder="1" applyAlignment="1">
      <alignment vertical="center" wrapText="1"/>
    </xf>
    <xf numFmtId="0" fontId="65" fillId="14" borderId="50" xfId="20" quotePrefix="1" applyFont="1" applyFill="1" applyBorder="1" applyAlignment="1" applyProtection="1">
      <alignment vertical="center" wrapText="1"/>
      <protection locked="0"/>
    </xf>
    <xf numFmtId="0" fontId="65" fillId="14" borderId="46" xfId="20" quotePrefix="1" applyFont="1" applyFill="1" applyBorder="1" applyAlignment="1">
      <alignment vertical="center" wrapText="1"/>
    </xf>
    <xf numFmtId="0" fontId="65" fillId="14" borderId="43" xfId="0" quotePrefix="1" applyFont="1" applyFill="1" applyBorder="1" applyAlignment="1">
      <alignment vertical="center"/>
    </xf>
    <xf numFmtId="0" fontId="65" fillId="14" borderId="50" xfId="0" quotePrefix="1" applyFont="1" applyFill="1" applyBorder="1" applyAlignment="1" applyProtection="1">
      <alignment vertical="center"/>
      <protection locked="0"/>
    </xf>
    <xf numFmtId="0" fontId="65" fillId="14" borderId="72" xfId="20" quotePrefix="1" applyFont="1" applyFill="1" applyBorder="1" applyAlignment="1" applyProtection="1">
      <alignment vertical="center" wrapText="1"/>
      <protection locked="0"/>
    </xf>
    <xf numFmtId="0" fontId="65" fillId="14" borderId="64" xfId="0" applyFont="1" applyFill="1" applyBorder="1"/>
    <xf numFmtId="0" fontId="65" fillId="14" borderId="65" xfId="0" applyFont="1" applyFill="1" applyBorder="1"/>
    <xf numFmtId="0" fontId="65" fillId="14" borderId="64" xfId="0" applyFont="1" applyFill="1" applyBorder="1" applyProtection="1">
      <protection locked="0"/>
    </xf>
    <xf numFmtId="0" fontId="65" fillId="14" borderId="65" xfId="0" applyFont="1" applyFill="1" applyBorder="1" applyProtection="1">
      <protection locked="0"/>
    </xf>
    <xf numFmtId="0" fontId="65" fillId="14" borderId="68" xfId="0" applyFont="1" applyFill="1" applyBorder="1" applyProtection="1">
      <protection locked="0"/>
    </xf>
    <xf numFmtId="0" fontId="65" fillId="14" borderId="74" xfId="0" applyFont="1" applyFill="1" applyBorder="1" applyProtection="1">
      <protection locked="0"/>
    </xf>
    <xf numFmtId="0" fontId="65" fillId="14" borderId="72" xfId="0" applyFont="1" applyFill="1" applyBorder="1"/>
    <xf numFmtId="0" fontId="65" fillId="14" borderId="73" xfId="0" applyFont="1" applyFill="1" applyBorder="1"/>
    <xf numFmtId="0" fontId="9" fillId="21" borderId="33" xfId="3" applyFont="1" applyFill="1" applyBorder="1" applyAlignment="1">
      <alignment horizontal="center" vertical="center"/>
    </xf>
    <xf numFmtId="0" fontId="9" fillId="21" borderId="34" xfId="3" applyFont="1" applyFill="1" applyBorder="1" applyAlignment="1">
      <alignment horizontal="center" vertical="center"/>
    </xf>
    <xf numFmtId="167" fontId="10" fillId="21" borderId="33" xfId="3" applyNumberFormat="1" applyFont="1" applyFill="1" applyBorder="1" applyAlignment="1">
      <alignment horizontal="center"/>
    </xf>
    <xf numFmtId="167" fontId="10" fillId="21" borderId="34" xfId="3" applyNumberFormat="1" applyFont="1" applyFill="1" applyBorder="1" applyAlignment="1">
      <alignment horizontal="center"/>
    </xf>
    <xf numFmtId="0" fontId="10" fillId="21" borderId="0" xfId="3" applyFont="1" applyFill="1" applyAlignment="1">
      <alignment vertical="center"/>
    </xf>
    <xf numFmtId="0" fontId="10" fillId="21" borderId="35" xfId="3" applyFont="1" applyFill="1" applyBorder="1" applyAlignment="1">
      <alignment vertical="center"/>
    </xf>
    <xf numFmtId="167" fontId="10" fillId="21" borderId="0" xfId="3" applyNumberFormat="1" applyFont="1" applyFill="1" applyAlignment="1">
      <alignment horizontal="center" vertical="center"/>
    </xf>
    <xf numFmtId="167" fontId="10" fillId="21" borderId="35" xfId="3" applyNumberFormat="1" applyFont="1" applyFill="1" applyBorder="1" applyAlignment="1">
      <alignment horizontal="center" vertical="center"/>
    </xf>
    <xf numFmtId="167" fontId="10" fillId="21" borderId="5" xfId="3" applyNumberFormat="1" applyFont="1" applyFill="1" applyBorder="1" applyAlignment="1">
      <alignment horizontal="center" vertical="center"/>
    </xf>
    <xf numFmtId="167" fontId="10" fillId="21" borderId="36" xfId="3" applyNumberFormat="1" applyFont="1" applyFill="1" applyBorder="1" applyAlignment="1">
      <alignment horizontal="center" vertical="center"/>
    </xf>
    <xf numFmtId="0" fontId="11" fillId="2" borderId="0" xfId="3" applyFont="1" applyFill="1" applyAlignment="1">
      <alignment horizontal="left" vertical="center"/>
    </xf>
    <xf numFmtId="171" fontId="2" fillId="3" borderId="11" xfId="2" applyNumberFormat="1" applyFont="1" applyFill="1" applyBorder="1" applyAlignment="1">
      <alignment horizontal="center" vertical="center"/>
    </xf>
    <xf numFmtId="171" fontId="2" fillId="2" borderId="6" xfId="0" applyNumberFormat="1" applyFont="1" applyFill="1" applyBorder="1" applyAlignment="1">
      <alignment horizontal="center" vertical="center"/>
    </xf>
    <xf numFmtId="0" fontId="36" fillId="2" borderId="6" xfId="0" applyFont="1" applyFill="1" applyBorder="1"/>
    <xf numFmtId="171" fontId="35" fillId="2" borderId="6" xfId="2" applyNumberFormat="1" applyFont="1" applyFill="1" applyBorder="1" applyAlignment="1">
      <alignment horizontal="left"/>
    </xf>
    <xf numFmtId="0" fontId="35" fillId="2" borderId="4" xfId="0" applyFont="1" applyFill="1" applyBorder="1" applyAlignment="1">
      <alignment horizontal="left"/>
    </xf>
    <xf numFmtId="0" fontId="35" fillId="2" borderId="7" xfId="0" applyFont="1" applyFill="1" applyBorder="1" applyAlignment="1">
      <alignment horizontal="left"/>
    </xf>
    <xf numFmtId="0" fontId="8" fillId="3" borderId="6" xfId="0" applyFont="1" applyFill="1" applyBorder="1"/>
    <xf numFmtId="0" fontId="8" fillId="2" borderId="6" xfId="0" applyFont="1" applyFill="1" applyBorder="1"/>
    <xf numFmtId="171" fontId="8" fillId="2" borderId="6" xfId="2" applyNumberFormat="1" applyFont="1" applyFill="1" applyBorder="1" applyAlignment="1">
      <alignment horizontal="center"/>
    </xf>
    <xf numFmtId="171" fontId="10" fillId="2" borderId="6" xfId="2" applyNumberFormat="1" applyFont="1" applyFill="1" applyBorder="1" applyAlignment="1">
      <alignment horizontal="center" vertical="center"/>
    </xf>
    <xf numFmtId="180" fontId="2" fillId="2" borderId="6" xfId="15" applyNumberFormat="1" applyFont="1" applyFill="1" applyBorder="1" applyAlignment="1">
      <alignment horizontal="left" vertical="center"/>
    </xf>
    <xf numFmtId="171" fontId="2" fillId="13" borderId="6" xfId="0" applyNumberFormat="1" applyFont="1" applyFill="1" applyBorder="1"/>
    <xf numFmtId="179" fontId="2" fillId="13" borderId="6" xfId="15" applyNumberFormat="1" applyFont="1" applyFill="1" applyBorder="1" applyAlignment="1">
      <alignment horizontal="left"/>
    </xf>
    <xf numFmtId="171" fontId="2" fillId="13" borderId="6" xfId="2" applyNumberFormat="1" applyFont="1" applyFill="1" applyBorder="1" applyAlignment="1">
      <alignment horizontal="left"/>
    </xf>
    <xf numFmtId="179" fontId="2" fillId="18" borderId="6" xfId="0" applyNumberFormat="1" applyFont="1" applyFill="1" applyBorder="1"/>
    <xf numFmtId="179" fontId="65" fillId="12" borderId="44" xfId="15" applyNumberFormat="1" applyFont="1" applyFill="1" applyBorder="1" applyProtection="1">
      <protection locked="0"/>
    </xf>
    <xf numFmtId="179" fontId="67" fillId="2" borderId="0" xfId="15" applyNumberFormat="1" applyFont="1" applyFill="1" applyBorder="1" applyAlignment="1" applyProtection="1">
      <alignment horizontal="right"/>
      <protection locked="0"/>
    </xf>
    <xf numFmtId="179" fontId="69" fillId="2" borderId="0" xfId="15" applyNumberFormat="1" applyFont="1" applyFill="1"/>
    <xf numFmtId="179" fontId="65" fillId="12" borderId="52" xfId="15" applyNumberFormat="1" applyFont="1" applyFill="1" applyBorder="1"/>
    <xf numFmtId="179" fontId="65" fillId="12" borderId="53" xfId="15" applyNumberFormat="1" applyFont="1" applyFill="1" applyBorder="1"/>
    <xf numFmtId="179" fontId="65" fillId="12" borderId="33" xfId="15" applyNumberFormat="1" applyFont="1" applyFill="1" applyBorder="1" applyProtection="1">
      <protection locked="0"/>
    </xf>
    <xf numFmtId="179" fontId="69" fillId="2" borderId="58" xfId="15" applyNumberFormat="1" applyFont="1" applyFill="1" applyBorder="1"/>
    <xf numFmtId="179" fontId="65" fillId="2" borderId="58" xfId="15" applyNumberFormat="1" applyFont="1" applyFill="1" applyBorder="1"/>
    <xf numFmtId="179" fontId="65" fillId="2" borderId="0" xfId="15" applyNumberFormat="1" applyFont="1" applyFill="1" applyBorder="1" applyProtection="1">
      <protection locked="0"/>
    </xf>
    <xf numFmtId="179" fontId="65" fillId="12" borderId="56" xfId="15" applyNumberFormat="1" applyFont="1" applyFill="1" applyBorder="1"/>
    <xf numFmtId="179" fontId="65" fillId="2" borderId="66" xfId="15" applyNumberFormat="1" applyFont="1" applyFill="1" applyBorder="1"/>
    <xf numFmtId="179" fontId="65" fillId="2" borderId="67" xfId="15" applyNumberFormat="1" applyFont="1" applyFill="1" applyBorder="1"/>
    <xf numFmtId="0" fontId="36" fillId="22" borderId="0" xfId="0" applyFont="1" applyFill="1"/>
    <xf numFmtId="0" fontId="24" fillId="22" borderId="0" xfId="0" applyFont="1" applyFill="1"/>
    <xf numFmtId="167" fontId="2" fillId="13" borderId="6" xfId="0" applyNumberFormat="1" applyFont="1" applyFill="1" applyBorder="1"/>
    <xf numFmtId="180" fontId="2" fillId="3" borderId="8" xfId="0" applyNumberFormat="1" applyFont="1" applyFill="1" applyBorder="1" applyAlignment="1">
      <alignment horizontal="center" vertical="center"/>
    </xf>
    <xf numFmtId="180" fontId="36" fillId="7" borderId="6" xfId="15" applyNumberFormat="1" applyFont="1" applyFill="1" applyBorder="1"/>
    <xf numFmtId="0" fontId="47" fillId="11" borderId="4" xfId="0" applyFont="1" applyFill="1" applyBorder="1" applyAlignment="1">
      <alignment horizontal="left"/>
    </xf>
    <xf numFmtId="0" fontId="47" fillId="11" borderId="7" xfId="0" applyFont="1" applyFill="1" applyBorder="1" applyAlignment="1">
      <alignment horizontal="left"/>
    </xf>
    <xf numFmtId="0" fontId="15" fillId="7" borderId="8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72" fillId="7" borderId="6" xfId="0" applyFont="1" applyFill="1" applyBorder="1" applyAlignment="1">
      <alignment horizontal="center" vertical="center"/>
    </xf>
    <xf numFmtId="0" fontId="73" fillId="2" borderId="0" xfId="0" applyFont="1" applyFill="1"/>
    <xf numFmtId="0" fontId="73" fillId="2" borderId="0" xfId="0" applyFont="1" applyFill="1" applyAlignment="1">
      <alignment horizontal="right"/>
    </xf>
    <xf numFmtId="0" fontId="74" fillId="3" borderId="6" xfId="0" applyFont="1" applyFill="1" applyBorder="1"/>
    <xf numFmtId="0" fontId="17" fillId="0" borderId="6" xfId="0" applyFont="1" applyBorder="1"/>
    <xf numFmtId="0" fontId="75" fillId="19" borderId="0" xfId="0" applyFont="1" applyFill="1"/>
    <xf numFmtId="0" fontId="76" fillId="19" borderId="0" xfId="0" applyFont="1" applyFill="1"/>
    <xf numFmtId="0" fontId="8" fillId="3" borderId="6" xfId="0" applyFont="1" applyFill="1" applyBorder="1" applyAlignment="1">
      <alignment horizontal="left" indent="1"/>
    </xf>
    <xf numFmtId="0" fontId="8" fillId="0" borderId="6" xfId="0" applyFont="1" applyBorder="1" applyAlignment="1">
      <alignment horizontal="left" indent="1"/>
    </xf>
    <xf numFmtId="0" fontId="8" fillId="9" borderId="6" xfId="0" applyFont="1" applyFill="1" applyBorder="1" applyAlignment="1">
      <alignment horizontal="left" indent="1"/>
    </xf>
    <xf numFmtId="172" fontId="42" fillId="2" borderId="6" xfId="0" applyNumberFormat="1" applyFont="1" applyFill="1" applyBorder="1"/>
    <xf numFmtId="20" fontId="2" fillId="2" borderId="0" xfId="0" applyNumberFormat="1" applyFont="1" applyFill="1"/>
    <xf numFmtId="164" fontId="40" fillId="2" borderId="6" xfId="0" applyNumberFormat="1" applyFont="1" applyFill="1" applyBorder="1" applyAlignment="1">
      <alignment horizontal="left"/>
    </xf>
    <xf numFmtId="0" fontId="47" fillId="11" borderId="29" xfId="0" applyFont="1" applyFill="1" applyBorder="1" applyAlignment="1">
      <alignment horizontal="left"/>
    </xf>
    <xf numFmtId="0" fontId="42" fillId="2" borderId="0" xfId="0" applyFont="1" applyFill="1" applyAlignment="1">
      <alignment horizontal="right"/>
    </xf>
    <xf numFmtId="0" fontId="2" fillId="3" borderId="6" xfId="0" applyFont="1" applyFill="1" applyBorder="1" applyAlignment="1">
      <alignment horizontal="left" indent="1"/>
    </xf>
    <xf numFmtId="0" fontId="2" fillId="3" borderId="6" xfId="0" applyFont="1" applyFill="1" applyBorder="1" applyAlignment="1">
      <alignment horizontal="left" wrapText="1" indent="1"/>
    </xf>
    <xf numFmtId="49" fontId="5" fillId="3" borderId="6" xfId="7" applyNumberFormat="1" applyFont="1" applyFill="1" applyBorder="1" applyAlignment="1" applyProtection="1">
      <alignment horizontal="left" vertical="top" wrapText="1" indent="1"/>
    </xf>
    <xf numFmtId="49" fontId="47" fillId="7" borderId="6" xfId="7" applyNumberFormat="1" applyFont="1" applyFill="1" applyBorder="1" applyAlignment="1" applyProtection="1">
      <alignment horizontal="left" vertical="top" wrapText="1"/>
    </xf>
    <xf numFmtId="0" fontId="79" fillId="11" borderId="6" xfId="0" applyFont="1" applyFill="1" applyBorder="1" applyAlignment="1">
      <alignment horizontal="center" vertical="center"/>
    </xf>
    <xf numFmtId="0" fontId="79" fillId="16" borderId="6" xfId="0" applyFont="1" applyFill="1" applyBorder="1" applyAlignment="1">
      <alignment horizontal="center" vertical="center" wrapText="1"/>
    </xf>
    <xf numFmtId="0" fontId="80" fillId="15" borderId="6" xfId="0" applyFont="1" applyFill="1" applyBorder="1"/>
    <xf numFmtId="0" fontId="79" fillId="16" borderId="11" xfId="0" quotePrefix="1" applyFont="1" applyFill="1" applyBorder="1" applyAlignment="1">
      <alignment horizontal="center" vertical="center"/>
    </xf>
    <xf numFmtId="0" fontId="79" fillId="16" borderId="6" xfId="0" quotePrefix="1" applyFont="1" applyFill="1" applyBorder="1" applyAlignment="1">
      <alignment horizontal="center" vertical="center" wrapText="1"/>
    </xf>
    <xf numFmtId="49" fontId="79" fillId="16" borderId="6" xfId="0" quotePrefix="1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/>
    </xf>
    <xf numFmtId="0" fontId="82" fillId="16" borderId="8" xfId="0" applyFont="1" applyFill="1" applyBorder="1" applyAlignment="1">
      <alignment horizontal="center" vertical="center" wrapText="1"/>
    </xf>
    <xf numFmtId="0" fontId="79" fillId="11" borderId="6" xfId="0" applyFont="1" applyFill="1" applyBorder="1" applyAlignment="1">
      <alignment horizontal="center" vertical="center" wrapText="1"/>
    </xf>
    <xf numFmtId="0" fontId="82" fillId="11" borderId="6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horizontal="left" indent="1"/>
    </xf>
    <xf numFmtId="49" fontId="10" fillId="3" borderId="6" xfId="7" applyNumberFormat="1" applyFont="1" applyFill="1" applyBorder="1" applyAlignment="1" applyProtection="1">
      <alignment horizontal="left" vertical="top" wrapText="1" indent="1"/>
    </xf>
    <xf numFmtId="0" fontId="35" fillId="13" borderId="6" xfId="0" applyFont="1" applyFill="1" applyBorder="1"/>
    <xf numFmtId="0" fontId="0" fillId="20" borderId="0" xfId="0" applyFill="1" applyAlignment="1">
      <alignment horizontal="left" indent="1"/>
    </xf>
    <xf numFmtId="0" fontId="0" fillId="20" borderId="40" xfId="0" applyFill="1" applyBorder="1" applyAlignment="1">
      <alignment horizontal="left" indent="1"/>
    </xf>
    <xf numFmtId="167" fontId="2" fillId="3" borderId="0" xfId="0" applyNumberFormat="1" applyFont="1" applyFill="1" applyAlignment="1">
      <alignment horizontal="center" vertical="center"/>
    </xf>
    <xf numFmtId="0" fontId="80" fillId="15" borderId="6" xfId="0" applyFont="1" applyFill="1" applyBorder="1" applyAlignment="1">
      <alignment horizontal="left" vertical="center"/>
    </xf>
    <xf numFmtId="0" fontId="28" fillId="3" borderId="6" xfId="0" applyFont="1" applyFill="1" applyBorder="1" applyAlignment="1">
      <alignment vertical="center"/>
    </xf>
    <xf numFmtId="0" fontId="2" fillId="23" borderId="6" xfId="0" applyFont="1" applyFill="1" applyBorder="1"/>
    <xf numFmtId="167" fontId="10" fillId="3" borderId="6" xfId="2" applyNumberFormat="1" applyFont="1" applyFill="1" applyBorder="1" applyAlignment="1">
      <alignment horizontal="left" vertical="center"/>
    </xf>
    <xf numFmtId="180" fontId="2" fillId="6" borderId="6" xfId="15" applyNumberFormat="1" applyFont="1" applyFill="1" applyBorder="1" applyAlignment="1">
      <alignment horizontal="center" vertical="center"/>
    </xf>
    <xf numFmtId="179" fontId="65" fillId="12" borderId="76" xfId="15" applyNumberFormat="1" applyFont="1" applyFill="1" applyBorder="1" applyProtection="1">
      <protection locked="0"/>
    </xf>
    <xf numFmtId="179" fontId="65" fillId="12" borderId="77" xfId="15" applyNumberFormat="1" applyFont="1" applyFill="1" applyBorder="1" applyProtection="1">
      <protection locked="0"/>
    </xf>
    <xf numFmtId="179" fontId="65" fillId="12" borderId="78" xfId="15" applyNumberFormat="1" applyFont="1" applyFill="1" applyBorder="1" applyProtection="1">
      <protection locked="0"/>
    </xf>
    <xf numFmtId="179" fontId="65" fillId="12" borderId="79" xfId="15" applyNumberFormat="1" applyFont="1" applyFill="1" applyBorder="1" applyProtection="1">
      <protection locked="0"/>
    </xf>
    <xf numFmtId="179" fontId="65" fillId="12" borderId="80" xfId="15" applyNumberFormat="1" applyFont="1" applyFill="1" applyBorder="1" applyProtection="1">
      <protection locked="0"/>
    </xf>
    <xf numFmtId="179" fontId="67" fillId="12" borderId="77" xfId="15" applyNumberFormat="1" applyFont="1" applyFill="1" applyBorder="1" applyAlignment="1" applyProtection="1">
      <alignment horizontal="right"/>
      <protection locked="0"/>
    </xf>
    <xf numFmtId="179" fontId="67" fillId="12" borderId="78" xfId="15" applyNumberFormat="1" applyFont="1" applyFill="1" applyBorder="1" applyAlignment="1" applyProtection="1">
      <alignment horizontal="right"/>
      <protection locked="0"/>
    </xf>
    <xf numFmtId="179" fontId="67" fillId="12" borderId="79" xfId="15" applyNumberFormat="1" applyFont="1" applyFill="1" applyBorder="1" applyAlignment="1" applyProtection="1">
      <alignment horizontal="right"/>
      <protection locked="0"/>
    </xf>
    <xf numFmtId="179" fontId="67" fillId="12" borderId="80" xfId="15" applyNumberFormat="1" applyFont="1" applyFill="1" applyBorder="1" applyAlignment="1" applyProtection="1">
      <alignment horizontal="right"/>
      <protection locked="0"/>
    </xf>
    <xf numFmtId="179" fontId="65" fillId="12" borderId="44" xfId="15" quotePrefix="1" applyNumberFormat="1" applyFont="1" applyFill="1" applyBorder="1"/>
    <xf numFmtId="179" fontId="65" fillId="12" borderId="76" xfId="15" quotePrefix="1" applyNumberFormat="1" applyFont="1" applyFill="1" applyBorder="1"/>
    <xf numFmtId="179" fontId="65" fillId="12" borderId="77" xfId="15" applyNumberFormat="1" applyFont="1" applyFill="1" applyBorder="1"/>
    <xf numFmtId="179" fontId="65" fillId="12" borderId="78" xfId="15" applyNumberFormat="1" applyFont="1" applyFill="1" applyBorder="1"/>
    <xf numFmtId="179" fontId="65" fillId="12" borderId="56" xfId="15" applyNumberFormat="1" applyFont="1" applyFill="1" applyBorder="1" applyProtection="1">
      <protection locked="0"/>
    </xf>
    <xf numFmtId="179" fontId="65" fillId="12" borderId="81" xfId="15" applyNumberFormat="1" applyFont="1" applyFill="1" applyBorder="1" applyProtection="1">
      <protection locked="0"/>
    </xf>
    <xf numFmtId="179" fontId="65" fillId="12" borderId="82" xfId="15" applyNumberFormat="1" applyFont="1" applyFill="1" applyBorder="1" applyProtection="1">
      <protection locked="0"/>
    </xf>
    <xf numFmtId="179" fontId="65" fillId="2" borderId="82" xfId="15" applyNumberFormat="1" applyFont="1" applyFill="1" applyBorder="1" applyProtection="1">
      <protection locked="0"/>
    </xf>
    <xf numFmtId="179" fontId="65" fillId="12" borderId="44" xfId="15" quotePrefix="1" applyNumberFormat="1" applyFont="1" applyFill="1" applyBorder="1" applyAlignment="1">
      <alignment vertical="center" wrapText="1"/>
    </xf>
    <xf numFmtId="179" fontId="65" fillId="12" borderId="76" xfId="15" quotePrefix="1" applyNumberFormat="1" applyFont="1" applyFill="1" applyBorder="1" applyAlignment="1">
      <alignment vertical="center" wrapText="1"/>
    </xf>
    <xf numFmtId="179" fontId="65" fillId="12" borderId="77" xfId="15" quotePrefix="1" applyNumberFormat="1" applyFont="1" applyFill="1" applyBorder="1" applyAlignment="1">
      <alignment vertical="center"/>
    </xf>
    <xf numFmtId="179" fontId="65" fillId="12" borderId="78" xfId="15" quotePrefix="1" applyNumberFormat="1" applyFont="1" applyFill="1" applyBorder="1" applyAlignment="1">
      <alignment vertical="center"/>
    </xf>
    <xf numFmtId="179" fontId="65" fillId="12" borderId="79" xfId="15" quotePrefix="1" applyNumberFormat="1" applyFont="1" applyFill="1" applyBorder="1" applyAlignment="1" applyProtection="1">
      <alignment vertical="center"/>
      <protection locked="0"/>
    </xf>
    <xf numFmtId="179" fontId="65" fillId="12" borderId="80" xfId="15" quotePrefix="1" applyNumberFormat="1" applyFont="1" applyFill="1" applyBorder="1" applyAlignment="1" applyProtection="1">
      <alignment vertical="center"/>
      <protection locked="0"/>
    </xf>
    <xf numFmtId="179" fontId="65" fillId="12" borderId="44" xfId="15" quotePrefix="1" applyNumberFormat="1" applyFont="1" applyFill="1" applyBorder="1" applyAlignment="1">
      <alignment vertical="center"/>
    </xf>
    <xf numFmtId="179" fontId="65" fillId="12" borderId="76" xfId="15" quotePrefix="1" applyNumberFormat="1" applyFont="1" applyFill="1" applyBorder="1" applyAlignment="1">
      <alignment vertical="center"/>
    </xf>
    <xf numFmtId="179" fontId="65" fillId="12" borderId="56" xfId="15" quotePrefix="1" applyNumberFormat="1" applyFont="1" applyFill="1" applyBorder="1" applyAlignment="1" applyProtection="1">
      <alignment vertical="center" wrapText="1"/>
      <protection locked="0"/>
    </xf>
    <xf numFmtId="179" fontId="65" fillId="12" borderId="81" xfId="15" quotePrefix="1" applyNumberFormat="1" applyFont="1" applyFill="1" applyBorder="1" applyAlignment="1" applyProtection="1">
      <alignment vertical="center" wrapText="1"/>
      <protection locked="0"/>
    </xf>
    <xf numFmtId="179" fontId="65" fillId="2" borderId="82" xfId="15" quotePrefix="1" applyNumberFormat="1" applyFont="1" applyFill="1" applyBorder="1" applyAlignment="1" applyProtection="1">
      <alignment vertical="center" wrapText="1"/>
      <protection locked="0"/>
    </xf>
    <xf numFmtId="179" fontId="65" fillId="12" borderId="83" xfId="15" applyNumberFormat="1" applyFont="1" applyFill="1" applyBorder="1"/>
    <xf numFmtId="179" fontId="65" fillId="12" borderId="84" xfId="15" applyNumberFormat="1" applyFont="1" applyFill="1" applyBorder="1"/>
    <xf numFmtId="179" fontId="65" fillId="12" borderId="85" xfId="15" applyNumberFormat="1" applyFont="1" applyFill="1" applyBorder="1"/>
    <xf numFmtId="179" fontId="65" fillId="12" borderId="86" xfId="15" applyNumberFormat="1" applyFont="1" applyFill="1" applyBorder="1"/>
    <xf numFmtId="179" fontId="65" fillId="12" borderId="44" xfId="15" applyNumberFormat="1" applyFont="1" applyFill="1" applyBorder="1"/>
    <xf numFmtId="179" fontId="65" fillId="12" borderId="76" xfId="15" applyNumberFormat="1" applyFont="1" applyFill="1" applyBorder="1"/>
    <xf numFmtId="179" fontId="65" fillId="12" borderId="81" xfId="15" applyNumberFormat="1" applyFont="1" applyFill="1" applyBorder="1"/>
    <xf numFmtId="0" fontId="13" fillId="2" borderId="19" xfId="3" applyFont="1" applyFill="1" applyBorder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6" fillId="2" borderId="19" xfId="3" applyFont="1" applyFill="1" applyBorder="1" applyAlignment="1">
      <alignment horizontal="left" vertical="top" wrapText="1" indent="5"/>
    </xf>
    <xf numFmtId="0" fontId="6" fillId="2" borderId="0" xfId="3" applyFont="1" applyFill="1" applyAlignment="1">
      <alignment horizontal="left" vertical="top" wrapText="1" indent="5"/>
    </xf>
    <xf numFmtId="0" fontId="6" fillId="2" borderId="19" xfId="3" applyFont="1" applyFill="1" applyBorder="1" applyAlignment="1">
      <alignment horizontal="left" vertical="top" wrapText="1"/>
    </xf>
    <xf numFmtId="0" fontId="6" fillId="2" borderId="0" xfId="3" applyFont="1" applyFill="1" applyAlignment="1">
      <alignment horizontal="left" vertical="top" wrapText="1"/>
    </xf>
    <xf numFmtId="0" fontId="32" fillId="5" borderId="1" xfId="3" applyFont="1" applyFill="1" applyBorder="1" applyAlignment="1">
      <alignment horizontal="left" vertical="center" indent="1"/>
    </xf>
    <xf numFmtId="0" fontId="32" fillId="5" borderId="2" xfId="3" applyFont="1" applyFill="1" applyBorder="1" applyAlignment="1">
      <alignment horizontal="left" vertical="center" indent="1"/>
    </xf>
    <xf numFmtId="0" fontId="32" fillId="5" borderId="3" xfId="3" applyFont="1" applyFill="1" applyBorder="1" applyAlignment="1">
      <alignment horizontal="left" vertical="center" indent="1"/>
    </xf>
    <xf numFmtId="0" fontId="6" fillId="2" borderId="20" xfId="3" applyFont="1" applyFill="1" applyBorder="1" applyAlignment="1">
      <alignment horizontal="left" vertical="top" wrapText="1"/>
    </xf>
    <xf numFmtId="0" fontId="6" fillId="12" borderId="0" xfId="3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10" fillId="2" borderId="25" xfId="7" applyNumberFormat="1" applyFont="1" applyFill="1" applyBorder="1" applyAlignment="1" applyProtection="1">
      <alignment horizontal="left" vertical="top" wrapText="1"/>
    </xf>
    <xf numFmtId="49" fontId="10" fillId="2" borderId="0" xfId="7" applyNumberFormat="1" applyFont="1" applyFill="1" applyAlignment="1" applyProtection="1">
      <alignment horizontal="left" vertical="top" wrapText="1"/>
    </xf>
    <xf numFmtId="49" fontId="10" fillId="2" borderId="14" xfId="7" applyNumberFormat="1" applyFont="1" applyFill="1" applyBorder="1" applyAlignment="1" applyProtection="1">
      <alignment horizontal="left" vertical="top" wrapText="1"/>
    </xf>
    <xf numFmtId="0" fontId="53" fillId="2" borderId="0" xfId="0" applyFont="1" applyFill="1" applyAlignment="1">
      <alignment horizontal="center"/>
    </xf>
    <xf numFmtId="0" fontId="35" fillId="2" borderId="6" xfId="0" applyFont="1" applyFill="1" applyBorder="1" applyAlignment="1">
      <alignment horizontal="right"/>
    </xf>
    <xf numFmtId="0" fontId="37" fillId="7" borderId="6" xfId="0" applyFont="1" applyFill="1" applyBorder="1" applyAlignment="1">
      <alignment horizontal="left" vertical="center"/>
    </xf>
    <xf numFmtId="0" fontId="37" fillId="7" borderId="6" xfId="0" applyFont="1" applyFill="1" applyBorder="1" applyAlignment="1">
      <alignment horizontal="center" vertical="center"/>
    </xf>
    <xf numFmtId="0" fontId="38" fillId="11" borderId="6" xfId="0" applyFont="1" applyFill="1" applyBorder="1" applyAlignment="1">
      <alignment horizontal="center" vertical="center"/>
    </xf>
    <xf numFmtId="0" fontId="38" fillId="11" borderId="6" xfId="0" applyFont="1" applyFill="1" applyBorder="1" applyAlignment="1">
      <alignment horizontal="center"/>
    </xf>
    <xf numFmtId="0" fontId="37" fillId="11" borderId="6" xfId="0" applyFont="1" applyFill="1" applyBorder="1" applyAlignment="1">
      <alignment horizontal="left" vertical="center"/>
    </xf>
    <xf numFmtId="0" fontId="37" fillId="11" borderId="8" xfId="0" applyFont="1" applyFill="1" applyBorder="1" applyAlignment="1">
      <alignment horizontal="center" vertical="center"/>
    </xf>
    <xf numFmtId="0" fontId="37" fillId="11" borderId="11" xfId="0" applyFont="1" applyFill="1" applyBorder="1" applyAlignment="1">
      <alignment horizontal="center" vertical="center"/>
    </xf>
    <xf numFmtId="0" fontId="47" fillId="11" borderId="28" xfId="0" applyFont="1" applyFill="1" applyBorder="1" applyAlignment="1">
      <alignment horizontal="left" vertical="center"/>
    </xf>
    <xf numFmtId="0" fontId="37" fillId="7" borderId="8" xfId="0" applyFont="1" applyFill="1" applyBorder="1" applyAlignment="1">
      <alignment horizontal="left" vertical="center"/>
    </xf>
    <xf numFmtId="0" fontId="37" fillId="7" borderId="8" xfId="0" applyFont="1" applyFill="1" applyBorder="1" applyAlignment="1">
      <alignment horizontal="center" vertical="center"/>
    </xf>
    <xf numFmtId="0" fontId="37" fillId="11" borderId="28" xfId="0" applyFont="1" applyFill="1" applyBorder="1" applyAlignment="1">
      <alignment horizontal="left"/>
    </xf>
    <xf numFmtId="0" fontId="37" fillId="11" borderId="28" xfId="0" applyFont="1" applyFill="1" applyBorder="1" applyAlignment="1">
      <alignment horizontal="left" vertical="center"/>
    </xf>
    <xf numFmtId="0" fontId="38" fillId="7" borderId="6" xfId="0" applyFont="1" applyFill="1" applyBorder="1" applyAlignment="1">
      <alignment horizontal="left" vertical="center"/>
    </xf>
    <xf numFmtId="0" fontId="38" fillId="7" borderId="8" xfId="0" applyFont="1" applyFill="1" applyBorder="1" applyAlignment="1">
      <alignment horizontal="left" vertical="center"/>
    </xf>
    <xf numFmtId="0" fontId="38" fillId="7" borderId="6" xfId="0" applyFont="1" applyFill="1" applyBorder="1" applyAlignment="1">
      <alignment horizontal="center" vertical="center"/>
    </xf>
    <xf numFmtId="0" fontId="38" fillId="7" borderId="8" xfId="0" applyFont="1" applyFill="1" applyBorder="1" applyAlignment="1">
      <alignment horizontal="center" vertical="center"/>
    </xf>
    <xf numFmtId="0" fontId="76" fillId="19" borderId="0" xfId="0" applyFont="1" applyFill="1" applyAlignment="1">
      <alignment vertical="top"/>
    </xf>
    <xf numFmtId="0" fontId="76" fillId="19" borderId="0" xfId="0" applyFont="1" applyFill="1" applyAlignment="1">
      <alignment vertical="top" wrapText="1"/>
    </xf>
    <xf numFmtId="0" fontId="70" fillId="7" borderId="6" xfId="0" applyFont="1" applyFill="1" applyBorder="1" applyAlignment="1">
      <alignment horizontal="center" vertical="center"/>
    </xf>
    <xf numFmtId="0" fontId="71" fillId="7" borderId="6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47" fillId="11" borderId="4" xfId="0" applyFont="1" applyFill="1" applyBorder="1" applyAlignment="1">
      <alignment horizontal="left"/>
    </xf>
    <xf numFmtId="0" fontId="47" fillId="11" borderId="29" xfId="0" applyFont="1" applyFill="1" applyBorder="1" applyAlignment="1">
      <alignment horizontal="left"/>
    </xf>
    <xf numFmtId="0" fontId="47" fillId="11" borderId="7" xfId="0" applyFont="1" applyFill="1" applyBorder="1" applyAlignment="1">
      <alignment horizontal="left"/>
    </xf>
    <xf numFmtId="167" fontId="42" fillId="7" borderId="4" xfId="2" applyNumberFormat="1" applyFont="1" applyFill="1" applyBorder="1" applyAlignment="1">
      <alignment horizontal="left"/>
    </xf>
    <xf numFmtId="167" fontId="42" fillId="7" borderId="7" xfId="2" applyNumberFormat="1" applyFont="1" applyFill="1" applyBorder="1" applyAlignment="1">
      <alignment horizontal="left"/>
    </xf>
    <xf numFmtId="0" fontId="37" fillId="11" borderId="6" xfId="0" applyFont="1" applyFill="1" applyBorder="1" applyAlignment="1">
      <alignment horizontal="center"/>
    </xf>
    <xf numFmtId="0" fontId="37" fillId="11" borderId="6" xfId="0" applyFont="1" applyFill="1" applyBorder="1" applyAlignment="1">
      <alignment horizontal="center" vertical="center"/>
    </xf>
    <xf numFmtId="49" fontId="10" fillId="2" borderId="4" xfId="7" applyNumberFormat="1" applyFont="1" applyFill="1" applyBorder="1" applyAlignment="1" applyProtection="1">
      <alignment horizontal="left" vertical="top" wrapText="1"/>
    </xf>
    <xf numFmtId="49" fontId="10" fillId="2" borderId="29" xfId="7" applyNumberFormat="1" applyFont="1" applyFill="1" applyBorder="1" applyAlignment="1" applyProtection="1">
      <alignment horizontal="left" vertical="top" wrapText="1"/>
    </xf>
    <xf numFmtId="49" fontId="10" fillId="2" borderId="7" xfId="7" applyNumberFormat="1" applyFont="1" applyFill="1" applyBorder="1" applyAlignment="1" applyProtection="1">
      <alignment horizontal="left" vertical="top" wrapText="1"/>
    </xf>
    <xf numFmtId="49" fontId="5" fillId="2" borderId="4" xfId="7" applyNumberFormat="1" applyFont="1" applyFill="1" applyBorder="1" applyAlignment="1" applyProtection="1">
      <alignment horizontal="left" vertical="top" wrapText="1"/>
    </xf>
    <xf numFmtId="49" fontId="5" fillId="2" borderId="29" xfId="7" applyNumberFormat="1" applyFont="1" applyFill="1" applyBorder="1" applyAlignment="1" applyProtection="1">
      <alignment horizontal="left" vertical="top" wrapText="1"/>
    </xf>
    <xf numFmtId="49" fontId="5" fillId="2" borderId="7" xfId="7" applyNumberFormat="1" applyFont="1" applyFill="1" applyBorder="1" applyAlignment="1" applyProtection="1">
      <alignment horizontal="left" vertical="top" wrapText="1"/>
    </xf>
    <xf numFmtId="0" fontId="70" fillId="16" borderId="6" xfId="0" applyFont="1" applyFill="1" applyBorder="1" applyAlignment="1">
      <alignment horizontal="center" vertical="center" wrapText="1"/>
    </xf>
    <xf numFmtId="0" fontId="70" fillId="16" borderId="8" xfId="0" applyFont="1" applyFill="1" applyBorder="1" applyAlignment="1">
      <alignment horizontal="center" vertical="center" wrapText="1"/>
    </xf>
    <xf numFmtId="0" fontId="70" fillId="16" borderId="30" xfId="0" applyFont="1" applyFill="1" applyBorder="1" applyAlignment="1">
      <alignment horizontal="center" vertical="center" wrapText="1"/>
    </xf>
    <xf numFmtId="0" fontId="70" fillId="16" borderId="11" xfId="0" applyFont="1" applyFill="1" applyBorder="1" applyAlignment="1">
      <alignment horizontal="center" vertical="center" wrapText="1"/>
    </xf>
    <xf numFmtId="0" fontId="48" fillId="11" borderId="4" xfId="0" applyFont="1" applyFill="1" applyBorder="1" applyAlignment="1">
      <alignment horizontal="center" vertical="center"/>
    </xf>
    <xf numFmtId="0" fontId="48" fillId="11" borderId="29" xfId="0" applyFont="1" applyFill="1" applyBorder="1" applyAlignment="1">
      <alignment horizontal="center" vertical="center"/>
    </xf>
    <xf numFmtId="0" fontId="48" fillId="11" borderId="7" xfId="0" applyFont="1" applyFill="1" applyBorder="1" applyAlignment="1">
      <alignment horizontal="center" vertical="center"/>
    </xf>
    <xf numFmtId="0" fontId="70" fillId="11" borderId="6" xfId="0" applyFont="1" applyFill="1" applyBorder="1" applyAlignment="1">
      <alignment horizontal="center" vertical="center"/>
    </xf>
    <xf numFmtId="0" fontId="70" fillId="16" borderId="6" xfId="0" applyFont="1" applyFill="1" applyBorder="1" applyAlignment="1">
      <alignment horizontal="center" vertical="center"/>
    </xf>
    <xf numFmtId="0" fontId="70" fillId="16" borderId="4" xfId="0" applyFont="1" applyFill="1" applyBorder="1" applyAlignment="1">
      <alignment horizontal="center" vertical="center"/>
    </xf>
    <xf numFmtId="0" fontId="70" fillId="16" borderId="29" xfId="0" applyFont="1" applyFill="1" applyBorder="1" applyAlignment="1">
      <alignment horizontal="center" vertical="center"/>
    </xf>
    <xf numFmtId="0" fontId="70" fillId="16" borderId="7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left" wrapText="1"/>
    </xf>
    <xf numFmtId="0" fontId="51" fillId="19" borderId="0" xfId="9" applyFont="1" applyFill="1" applyAlignment="1">
      <alignment horizontal="left" vertical="center" wrapText="1"/>
    </xf>
    <xf numFmtId="0" fontId="35" fillId="7" borderId="4" xfId="0" applyFont="1" applyFill="1" applyBorder="1" applyAlignment="1">
      <alignment horizontal="left"/>
    </xf>
    <xf numFmtId="0" fontId="35" fillId="7" borderId="7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35" fillId="2" borderId="4" xfId="0" applyFont="1" applyFill="1" applyBorder="1" applyAlignment="1">
      <alignment horizontal="left"/>
    </xf>
    <xf numFmtId="0" fontId="35" fillId="2" borderId="7" xfId="0" applyFont="1" applyFill="1" applyBorder="1" applyAlignment="1">
      <alignment horizontal="left"/>
    </xf>
    <xf numFmtId="0" fontId="47" fillId="11" borderId="6" xfId="0" applyFont="1" applyFill="1" applyBorder="1" applyAlignment="1">
      <alignment horizontal="left" vertical="center" wrapText="1"/>
    </xf>
    <xf numFmtId="0" fontId="47" fillId="11" borderId="6" xfId="0" applyFont="1" applyFill="1" applyBorder="1" applyAlignment="1">
      <alignment horizontal="center"/>
    </xf>
    <xf numFmtId="0" fontId="47" fillId="2" borderId="4" xfId="0" applyFont="1" applyFill="1" applyBorder="1" applyAlignment="1">
      <alignment horizontal="center"/>
    </xf>
    <xf numFmtId="0" fontId="47" fillId="2" borderId="7" xfId="0" applyFont="1" applyFill="1" applyBorder="1" applyAlignment="1">
      <alignment horizontal="center"/>
    </xf>
    <xf numFmtId="171" fontId="3" fillId="2" borderId="4" xfId="2" applyNumberFormat="1" applyFont="1" applyFill="1" applyBorder="1" applyAlignment="1">
      <alignment horizontal="center"/>
    </xf>
    <xf numFmtId="171" fontId="3" fillId="2" borderId="7" xfId="2" applyNumberFormat="1" applyFont="1" applyFill="1" applyBorder="1" applyAlignment="1">
      <alignment horizontal="center"/>
    </xf>
    <xf numFmtId="0" fontId="47" fillId="11" borderId="8" xfId="0" applyFont="1" applyFill="1" applyBorder="1" applyAlignment="1">
      <alignment horizontal="center" vertical="center"/>
    </xf>
    <xf numFmtId="0" fontId="47" fillId="11" borderId="11" xfId="0" applyFont="1" applyFill="1" applyBorder="1" applyAlignment="1">
      <alignment horizontal="center" vertical="center"/>
    </xf>
    <xf numFmtId="0" fontId="47" fillId="11" borderId="6" xfId="0" applyFont="1" applyFill="1" applyBorder="1" applyAlignment="1">
      <alignment horizontal="center" vertical="center"/>
    </xf>
    <xf numFmtId="0" fontId="30" fillId="19" borderId="6" xfId="0" applyFont="1" applyFill="1" applyBorder="1" applyAlignment="1">
      <alignment horizontal="left" vertical="top" wrapText="1"/>
    </xf>
    <xf numFmtId="0" fontId="58" fillId="11" borderId="8" xfId="0" applyFont="1" applyFill="1" applyBorder="1" applyAlignment="1">
      <alignment horizontal="center" vertical="center"/>
    </xf>
    <xf numFmtId="0" fontId="58" fillId="11" borderId="11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/>
    </xf>
    <xf numFmtId="0" fontId="2" fillId="7" borderId="32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19" borderId="0" xfId="0" applyFont="1" applyFill="1" applyAlignment="1">
      <alignment horizontal="left" vertical="top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/>
    </xf>
    <xf numFmtId="0" fontId="47" fillId="7" borderId="29" xfId="0" applyFont="1" applyFill="1" applyBorder="1" applyAlignment="1">
      <alignment horizontal="center" vertical="center"/>
    </xf>
    <xf numFmtId="0" fontId="47" fillId="7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47" fillId="7" borderId="6" xfId="0" applyFont="1" applyFill="1" applyBorder="1" applyAlignment="1">
      <alignment horizontal="center" vertical="center"/>
    </xf>
    <xf numFmtId="0" fontId="38" fillId="7" borderId="0" xfId="0" applyFont="1" applyFill="1" applyAlignment="1">
      <alignment horizontal="center" vertical="center"/>
    </xf>
    <xf numFmtId="0" fontId="47" fillId="7" borderId="8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8" xfId="0" applyFont="1" applyFill="1" applyBorder="1" applyAlignment="1">
      <alignment horizontal="center" vertical="center"/>
    </xf>
    <xf numFmtId="0" fontId="47" fillId="7" borderId="11" xfId="0" applyFont="1" applyFill="1" applyBorder="1" applyAlignment="1">
      <alignment horizontal="center" vertical="center"/>
    </xf>
    <xf numFmtId="0" fontId="47" fillId="7" borderId="0" xfId="0" applyFont="1" applyFill="1" applyAlignment="1">
      <alignment horizontal="center" wrapText="1"/>
    </xf>
  </cellXfs>
  <cellStyles count="21">
    <cellStyle name="Moeda" xfId="1" builtinId="4"/>
    <cellStyle name="Moeda 2" xfId="4" xr:uid="{1E499E68-D484-4AF9-A994-9248AB1F8FAD}"/>
    <cellStyle name="Moeda 2 2" xfId="8" xr:uid="{B03C7DCC-131B-4972-98AA-1026882D7E9A}"/>
    <cellStyle name="Moeda 2 2 2" xfId="18" xr:uid="{B03C7DCC-131B-4972-98AA-1026882D7E9A}"/>
    <cellStyle name="Moeda 3" xfId="5" xr:uid="{00000000-0005-0000-0000-000031000000}"/>
    <cellStyle name="Moeda 3 2" xfId="17" xr:uid="{00000000-0005-0000-0000-000031000000}"/>
    <cellStyle name="Moeda 4" xfId="16" xr:uid="{00000000-0005-0000-0000-00003B000000}"/>
    <cellStyle name="Normal" xfId="0" builtinId="0"/>
    <cellStyle name="Normal 11 2" xfId="11" xr:uid="{1F7C85FA-AC97-4455-B6CB-E86D6A216FAB}"/>
    <cellStyle name="Normal 2" xfId="7" xr:uid="{04E972DF-43ED-4FBB-9753-50175D4A89BE}"/>
    <cellStyle name="Normal 2 2" xfId="20" xr:uid="{A0C8AD2B-3B54-42EA-9DDF-F455B2DC3062}"/>
    <cellStyle name="Normal 3" xfId="6" xr:uid="{994BABAB-9752-4B7E-B27C-F8F34EA58CBF}"/>
    <cellStyle name="Normal 3 2" xfId="3" xr:uid="{B2A77FF0-4DDD-4162-B083-2446E224D53E}"/>
    <cellStyle name="Normal 3 3" xfId="12" xr:uid="{CD7E25FC-6B16-43C7-A7DF-9C66CC7B54AF}"/>
    <cellStyle name="Normal 4 3" xfId="14" xr:uid="{608D1F58-1260-4074-AA86-32DDCA1B75A5}"/>
    <cellStyle name="Normal 5" xfId="9" xr:uid="{82764946-6950-4CF2-961F-72647FBDC078}"/>
    <cellStyle name="Percentagem" xfId="2" builtinId="5"/>
    <cellStyle name="Percentagem 3" xfId="10" xr:uid="{695B98F6-92E1-4B30-89AB-D39A55702FF6}"/>
    <cellStyle name="Vírgula" xfId="15" builtinId="3"/>
    <cellStyle name="Vírgula 2" xfId="13" xr:uid="{00000000-0005-0000-0000-000039000000}"/>
    <cellStyle name="Vírgula 3" xfId="19" xr:uid="{00000000-0005-0000-0000-00003E000000}"/>
  </cellStyles>
  <dxfs count="1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39994506668294322"/>
      </font>
      <fill>
        <patternFill>
          <bgColor rgb="FFFFC7CE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4B4C9"/>
      <color rgb="FF884E75"/>
      <color rgb="FFC31313"/>
      <color rgb="FFF2A068"/>
      <color rgb="FFF4C2ED"/>
      <color rgb="FFFCEEFA"/>
      <color rgb="FFFFE1E1"/>
      <color rgb="FFFFBDBD"/>
      <color rgb="FFFA7EE2"/>
      <color rgb="FFA10B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Efici&#234;ncia Operacional'!A1"/><Relationship Id="rId13" Type="http://schemas.openxmlformats.org/officeDocument/2006/relationships/hyperlink" Target="#Verifica&#231;&#227;o!A1"/><Relationship Id="rId18" Type="http://schemas.openxmlformats.org/officeDocument/2006/relationships/hyperlink" Target="#Aven&#231;as!A1"/><Relationship Id="rId3" Type="http://schemas.openxmlformats.org/officeDocument/2006/relationships/image" Target="../media/image2.svg"/><Relationship Id="rId7" Type="http://schemas.openxmlformats.org/officeDocument/2006/relationships/hyperlink" Target="#Investimentos!A1"/><Relationship Id="rId12" Type="http://schemas.openxmlformats.org/officeDocument/2006/relationships/hyperlink" Target="#Outros!A1"/><Relationship Id="rId17" Type="http://schemas.openxmlformats.org/officeDocument/2006/relationships/image" Target="../media/image4.png"/><Relationship Id="rId2" Type="http://schemas.openxmlformats.org/officeDocument/2006/relationships/image" Target="../media/image1.png"/><Relationship Id="rId16" Type="http://schemas.openxmlformats.org/officeDocument/2006/relationships/hyperlink" Target="#'DFC vs ORAM'!A1"/><Relationship Id="rId1" Type="http://schemas.openxmlformats.org/officeDocument/2006/relationships/hyperlink" Target="#Instru&#231;&#245;es!A1"/><Relationship Id="rId6" Type="http://schemas.openxmlformats.org/officeDocument/2006/relationships/hyperlink" Target="#DFC!A1"/><Relationship Id="rId11" Type="http://schemas.openxmlformats.org/officeDocument/2006/relationships/hyperlink" Target="#'Quadro RH2'!A1"/><Relationship Id="rId5" Type="http://schemas.openxmlformats.org/officeDocument/2006/relationships/hyperlink" Target="#DR!A1"/><Relationship Id="rId15" Type="http://schemas.openxmlformats.org/officeDocument/2006/relationships/image" Target="../media/image3.svg"/><Relationship Id="rId10" Type="http://schemas.openxmlformats.org/officeDocument/2006/relationships/hyperlink" Target="#'Quadro RH1'!A1"/><Relationship Id="rId19" Type="http://schemas.openxmlformats.org/officeDocument/2006/relationships/image" Target="../media/image5.png"/><Relationship Id="rId4" Type="http://schemas.openxmlformats.org/officeDocument/2006/relationships/hyperlink" Target="#Resumo!A1"/><Relationship Id="rId9" Type="http://schemas.openxmlformats.org/officeDocument/2006/relationships/hyperlink" Target="#'R&#225;cios Econ. e financ.'!A1"/><Relationship Id="rId14" Type="http://schemas.openxmlformats.org/officeDocument/2006/relationships/hyperlink" Target="#BAL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hyperlink" Target="#&#205;ndice!A1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stru&#231;&#245;es!A1"/><Relationship Id="rId2" Type="http://schemas.openxmlformats.org/officeDocument/2006/relationships/image" Target="../media/image6.png"/><Relationship Id="rId1" Type="http://schemas.openxmlformats.org/officeDocument/2006/relationships/hyperlink" Target="#&#205;ndice!A1"/><Relationship Id="rId5" Type="http://schemas.openxmlformats.org/officeDocument/2006/relationships/image" Target="../media/image12.svg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2</xdr:row>
      <xdr:rowOff>148167</xdr:rowOff>
    </xdr:from>
    <xdr:to>
      <xdr:col>0</xdr:col>
      <xdr:colOff>592666</xdr:colOff>
      <xdr:row>4</xdr:row>
      <xdr:rowOff>74082</xdr:rowOff>
    </xdr:to>
    <xdr:pic>
      <xdr:nvPicPr>
        <xdr:cNvPr id="37" name="Gráfico 36" descr="Retroceder RT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D2CE2-2020-4C70-AB1B-022D07F61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1" y="529167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296333</xdr:colOff>
      <xdr:row>4</xdr:row>
      <xdr:rowOff>158750</xdr:rowOff>
    </xdr:from>
    <xdr:to>
      <xdr:col>0</xdr:col>
      <xdr:colOff>603248</xdr:colOff>
      <xdr:row>6</xdr:row>
      <xdr:rowOff>84665</xdr:rowOff>
    </xdr:to>
    <xdr:pic>
      <xdr:nvPicPr>
        <xdr:cNvPr id="40" name="Gráfico 39" descr="Retroceder RT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FDE6A-2D40-4FD5-9D44-5E5352447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96333" y="920750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8</xdr:row>
      <xdr:rowOff>158749</xdr:rowOff>
    </xdr:from>
    <xdr:to>
      <xdr:col>0</xdr:col>
      <xdr:colOff>624415</xdr:colOff>
      <xdr:row>10</xdr:row>
      <xdr:rowOff>84664</xdr:rowOff>
    </xdr:to>
    <xdr:pic>
      <xdr:nvPicPr>
        <xdr:cNvPr id="42" name="Gráfico 41" descr="Retroceder RTL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DA0133-D8E5-4923-93F7-6E0215D7A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7500" y="1682749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10</xdr:row>
      <xdr:rowOff>158751</xdr:rowOff>
    </xdr:from>
    <xdr:to>
      <xdr:col>0</xdr:col>
      <xdr:colOff>624415</xdr:colOff>
      <xdr:row>12</xdr:row>
      <xdr:rowOff>84666</xdr:rowOff>
    </xdr:to>
    <xdr:pic>
      <xdr:nvPicPr>
        <xdr:cNvPr id="43" name="Gráfico 42" descr="Retroceder RT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B51535-4251-4B65-B8F0-3FF60A623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7500" y="2063751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328083</xdr:colOff>
      <xdr:row>15</xdr:row>
      <xdr:rowOff>15874</xdr:rowOff>
    </xdr:from>
    <xdr:to>
      <xdr:col>0</xdr:col>
      <xdr:colOff>634998</xdr:colOff>
      <xdr:row>16</xdr:row>
      <xdr:rowOff>132289</xdr:rowOff>
    </xdr:to>
    <xdr:pic>
      <xdr:nvPicPr>
        <xdr:cNvPr id="44" name="Gráfico 43" descr="Retroceder RTL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2CA3F9D-E67A-4A8C-80FC-3CFAAA97E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8083" y="3254374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328084</xdr:colOff>
      <xdr:row>16</xdr:row>
      <xdr:rowOff>158750</xdr:rowOff>
    </xdr:from>
    <xdr:to>
      <xdr:col>0</xdr:col>
      <xdr:colOff>634999</xdr:colOff>
      <xdr:row>18</xdr:row>
      <xdr:rowOff>84665</xdr:rowOff>
    </xdr:to>
    <xdr:pic>
      <xdr:nvPicPr>
        <xdr:cNvPr id="45" name="Gráfico 44" descr="Retroceder RTL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0D4C610-AFD8-4C2C-B627-4EE3C144A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8084" y="2825750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27</xdr:row>
      <xdr:rowOff>158751</xdr:rowOff>
    </xdr:from>
    <xdr:to>
      <xdr:col>0</xdr:col>
      <xdr:colOff>624415</xdr:colOff>
      <xdr:row>29</xdr:row>
      <xdr:rowOff>84666</xdr:rowOff>
    </xdr:to>
    <xdr:pic>
      <xdr:nvPicPr>
        <xdr:cNvPr id="47" name="Gráfico 46" descr="Retroceder RTL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E683BE8-2592-4BA5-A80A-33A789FFA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7500" y="3587751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338667</xdr:colOff>
      <xdr:row>20</xdr:row>
      <xdr:rowOff>10584</xdr:rowOff>
    </xdr:from>
    <xdr:to>
      <xdr:col>0</xdr:col>
      <xdr:colOff>645582</xdr:colOff>
      <xdr:row>21</xdr:row>
      <xdr:rowOff>117928</xdr:rowOff>
    </xdr:to>
    <xdr:pic>
      <xdr:nvPicPr>
        <xdr:cNvPr id="48" name="Gráfico 47" descr="Retroceder RTL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5ADA0DC-3A14-4032-B886-5B9BD8BE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38667" y="3534834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328084</xdr:colOff>
      <xdr:row>21</xdr:row>
      <xdr:rowOff>158750</xdr:rowOff>
    </xdr:from>
    <xdr:to>
      <xdr:col>0</xdr:col>
      <xdr:colOff>634999</xdr:colOff>
      <xdr:row>23</xdr:row>
      <xdr:rowOff>84665</xdr:rowOff>
    </xdr:to>
    <xdr:pic>
      <xdr:nvPicPr>
        <xdr:cNvPr id="49" name="Gráfico 48" descr="Retroceder RTL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D0ED9E4-D107-48C0-961C-57CC1FE5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8084" y="4349750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334887</xdr:colOff>
      <xdr:row>25</xdr:row>
      <xdr:rowOff>154970</xdr:rowOff>
    </xdr:from>
    <xdr:to>
      <xdr:col>0</xdr:col>
      <xdr:colOff>641802</xdr:colOff>
      <xdr:row>27</xdr:row>
      <xdr:rowOff>80885</xdr:rowOff>
    </xdr:to>
    <xdr:pic>
      <xdr:nvPicPr>
        <xdr:cNvPr id="50" name="Gráfico 49" descr="Retroceder RTL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CEB3DA0-5F68-4646-9BD4-F62EE0520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34887" y="4890256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328083</xdr:colOff>
      <xdr:row>29</xdr:row>
      <xdr:rowOff>158750</xdr:rowOff>
    </xdr:from>
    <xdr:to>
      <xdr:col>0</xdr:col>
      <xdr:colOff>634998</xdr:colOff>
      <xdr:row>31</xdr:row>
      <xdr:rowOff>84665</xdr:rowOff>
    </xdr:to>
    <xdr:pic>
      <xdr:nvPicPr>
        <xdr:cNvPr id="51" name="Gráfico 50" descr="Retroceder RTL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DE4227F-7F97-4D4F-81FD-2C9F68FBE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8083" y="5111750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7</xdr:row>
      <xdr:rowOff>0</xdr:rowOff>
    </xdr:from>
    <xdr:to>
      <xdr:col>0</xdr:col>
      <xdr:colOff>624415</xdr:colOff>
      <xdr:row>8</xdr:row>
      <xdr:rowOff>116415</xdr:rowOff>
    </xdr:to>
    <xdr:pic>
      <xdr:nvPicPr>
        <xdr:cNvPr id="15" name="Gráfico 14" descr="Retroceder RTL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2D2E773-5131-45F2-A511-EB20F2BAA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317500" y="1672166"/>
          <a:ext cx="306915" cy="30691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12</xdr:row>
      <xdr:rowOff>166687</xdr:rowOff>
    </xdr:from>
    <xdr:to>
      <xdr:col>0</xdr:col>
      <xdr:colOff>638200</xdr:colOff>
      <xdr:row>14</xdr:row>
      <xdr:rowOff>90513</xdr:rowOff>
    </xdr:to>
    <xdr:pic>
      <xdr:nvPicPr>
        <xdr:cNvPr id="3" name="Imagem 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6B8AF81-A1B9-444E-8786-90A1FFAA1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33374" y="2833687"/>
          <a:ext cx="304826" cy="30482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23</xdr:row>
      <xdr:rowOff>149679</xdr:rowOff>
    </xdr:from>
    <xdr:to>
      <xdr:col>0</xdr:col>
      <xdr:colOff>638201</xdr:colOff>
      <xdr:row>25</xdr:row>
      <xdr:rowOff>73505</xdr:rowOff>
    </xdr:to>
    <xdr:pic>
      <xdr:nvPicPr>
        <xdr:cNvPr id="9" name="Imagem 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ADA407AB-6874-7A4D-001D-CA1E6A3E4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375" y="4694465"/>
          <a:ext cx="304826" cy="3048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0</xdr:row>
      <xdr:rowOff>0</xdr:rowOff>
    </xdr:from>
    <xdr:to>
      <xdr:col>27</xdr:col>
      <xdr:colOff>451143</xdr:colOff>
      <xdr:row>1</xdr:row>
      <xdr:rowOff>16422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60F609-7665-4538-88E9-DB024ADD9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13125" y="0"/>
          <a:ext cx="451143" cy="44504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451143</xdr:colOff>
      <xdr:row>0</xdr:row>
      <xdr:rowOff>438243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D0F3CA-293D-44A1-8FCC-E0D862C0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2100" y="0"/>
          <a:ext cx="451143" cy="4382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74839</xdr:colOff>
      <xdr:row>0</xdr:row>
      <xdr:rowOff>77561</xdr:rowOff>
    </xdr:from>
    <xdr:to>
      <xdr:col>11</xdr:col>
      <xdr:colOff>560614</xdr:colOff>
      <xdr:row>1</xdr:row>
      <xdr:rowOff>27308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995AFF-CA7E-48F2-A2B7-20FF1F98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06525" y="77561"/>
          <a:ext cx="485775" cy="44504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61232</xdr:colOff>
      <xdr:row>0</xdr:row>
      <xdr:rowOff>58511</xdr:rowOff>
    </xdr:from>
    <xdr:to>
      <xdr:col>11</xdr:col>
      <xdr:colOff>550475</xdr:colOff>
      <xdr:row>2</xdr:row>
      <xdr:rowOff>122558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F39B6-FDF2-4EBA-83D2-0896A3D74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37003" y="58511"/>
          <a:ext cx="489243" cy="43416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957943</xdr:colOff>
      <xdr:row>0</xdr:row>
      <xdr:rowOff>81643</xdr:rowOff>
    </xdr:from>
    <xdr:to>
      <xdr:col>11</xdr:col>
      <xdr:colOff>418486</xdr:colOff>
      <xdr:row>0</xdr:row>
      <xdr:rowOff>526690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8A5AF-0997-49FF-96CF-6B9B549BE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871372" y="81643"/>
          <a:ext cx="451143" cy="44504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123825</xdr:colOff>
      <xdr:row>0</xdr:row>
      <xdr:rowOff>47625</xdr:rowOff>
    </xdr:from>
    <xdr:to>
      <xdr:col>21</xdr:col>
      <xdr:colOff>574968</xdr:colOff>
      <xdr:row>2</xdr:row>
      <xdr:rowOff>111672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EA2EA-CFC6-4689-8DC5-4877F6BC5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812000" y="47625"/>
          <a:ext cx="451143" cy="445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62593</xdr:colOff>
      <xdr:row>0</xdr:row>
      <xdr:rowOff>65315</xdr:rowOff>
    </xdr:from>
    <xdr:to>
      <xdr:col>9</xdr:col>
      <xdr:colOff>551836</xdr:colOff>
      <xdr:row>1</xdr:row>
      <xdr:rowOff>16120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C0DC0-7762-4FEC-966B-F9A8DEE1F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56964" y="65315"/>
          <a:ext cx="489243" cy="446105"/>
        </a:xfrm>
        <a:prstGeom prst="rect">
          <a:avLst/>
        </a:prstGeom>
      </xdr:spPr>
    </xdr:pic>
    <xdr:clientData/>
  </xdr:twoCellAnchor>
  <xdr:twoCellAnchor editAs="oneCell">
    <xdr:from>
      <xdr:col>1</xdr:col>
      <xdr:colOff>669060</xdr:colOff>
      <xdr:row>38</xdr:row>
      <xdr:rowOff>72218</xdr:rowOff>
    </xdr:from>
    <xdr:to>
      <xdr:col>6</xdr:col>
      <xdr:colOff>229076</xdr:colOff>
      <xdr:row>48</xdr:row>
      <xdr:rowOff>185057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02D2F4-C851-CB07-46F0-95A7D9AE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16760" y="9270647"/>
          <a:ext cx="6820787" cy="2017839"/>
        </a:xfrm>
        <a:prstGeom prst="rect">
          <a:avLst/>
        </a:prstGeom>
      </xdr:spPr>
    </xdr:pic>
    <xdr:clientData/>
  </xdr:twoCellAnchor>
  <xdr:twoCellAnchor editAs="oneCell">
    <xdr:from>
      <xdr:col>1</xdr:col>
      <xdr:colOff>478364</xdr:colOff>
      <xdr:row>53</xdr:row>
      <xdr:rowOff>48986</xdr:rowOff>
    </xdr:from>
    <xdr:to>
      <xdr:col>6</xdr:col>
      <xdr:colOff>244928</xdr:colOff>
      <xdr:row>64</xdr:row>
      <xdr:rowOff>29875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7F005D5-1FD6-B436-1594-2AE897A26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6064" y="12104915"/>
          <a:ext cx="7027335" cy="2076389"/>
        </a:xfrm>
        <a:prstGeom prst="rect">
          <a:avLst/>
        </a:prstGeom>
      </xdr:spPr>
    </xdr:pic>
    <xdr:clientData/>
  </xdr:twoCellAnchor>
  <xdr:twoCellAnchor editAs="oneCell">
    <xdr:from>
      <xdr:col>1</xdr:col>
      <xdr:colOff>1420585</xdr:colOff>
      <xdr:row>71</xdr:row>
      <xdr:rowOff>65315</xdr:rowOff>
    </xdr:from>
    <xdr:to>
      <xdr:col>5</xdr:col>
      <xdr:colOff>544285</xdr:colOff>
      <xdr:row>90</xdr:row>
      <xdr:rowOff>120645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2589BFA-300B-3C36-C403-09567289B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68285" y="15550244"/>
          <a:ext cx="5736771" cy="29563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73479</xdr:colOff>
      <xdr:row>0</xdr:row>
      <xdr:rowOff>0</xdr:rowOff>
    </xdr:from>
    <xdr:to>
      <xdr:col>9</xdr:col>
      <xdr:colOff>558489</xdr:colOff>
      <xdr:row>1</xdr:row>
      <xdr:rowOff>42880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111735-C72C-4F51-B14B-838A0935C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6193" y="0"/>
          <a:ext cx="485010" cy="4402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27215</xdr:colOff>
      <xdr:row>0</xdr:row>
      <xdr:rowOff>102054</xdr:rowOff>
    </xdr:from>
    <xdr:to>
      <xdr:col>13</xdr:col>
      <xdr:colOff>516457</xdr:colOff>
      <xdr:row>2</xdr:row>
      <xdr:rowOff>157844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28DEF6-5EF8-4D22-AC1B-3579E52DE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138572" y="102054"/>
          <a:ext cx="489242" cy="4259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48986</xdr:colOff>
      <xdr:row>0</xdr:row>
      <xdr:rowOff>171450</xdr:rowOff>
    </xdr:from>
    <xdr:to>
      <xdr:col>13</xdr:col>
      <xdr:colOff>538228</xdr:colOff>
      <xdr:row>3</xdr:row>
      <xdr:rowOff>48986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63202A-1C6D-4BD9-AFE1-2F17F8432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892157" y="171450"/>
          <a:ext cx="489242" cy="438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48985</xdr:colOff>
      <xdr:row>1</xdr:row>
      <xdr:rowOff>32657</xdr:rowOff>
    </xdr:from>
    <xdr:to>
      <xdr:col>13</xdr:col>
      <xdr:colOff>536707</xdr:colOff>
      <xdr:row>3</xdr:row>
      <xdr:rowOff>95397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D6765-8A6E-3196-A500-1D512137C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7942" y="217714"/>
          <a:ext cx="487722" cy="4328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1</xdr:row>
      <xdr:rowOff>38100</xdr:rowOff>
    </xdr:from>
    <xdr:to>
      <xdr:col>7</xdr:col>
      <xdr:colOff>524961</xdr:colOff>
      <xdr:row>3</xdr:row>
      <xdr:rowOff>102147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A067E-0C90-4CD2-A1B6-9D98F8660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20975" y="228600"/>
          <a:ext cx="448761" cy="4450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1</xdr:row>
      <xdr:rowOff>0</xdr:rowOff>
    </xdr:from>
    <xdr:to>
      <xdr:col>15</xdr:col>
      <xdr:colOff>51093</xdr:colOff>
      <xdr:row>3</xdr:row>
      <xdr:rowOff>64047</xdr:rowOff>
    </xdr:to>
    <xdr:pic>
      <xdr:nvPicPr>
        <xdr:cNvPr id="8" name="Imagem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76732-0403-435C-AAB3-5167B2610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3307" y="185057"/>
          <a:ext cx="489243" cy="434161"/>
        </a:xfrm>
        <a:prstGeom prst="rect">
          <a:avLst/>
        </a:prstGeom>
      </xdr:spPr>
    </xdr:pic>
    <xdr:clientData/>
  </xdr:twoCellAnchor>
  <xdr:twoCellAnchor editAs="oneCell">
    <xdr:from>
      <xdr:col>15</xdr:col>
      <xdr:colOff>148318</xdr:colOff>
      <xdr:row>0</xdr:row>
      <xdr:rowOff>122464</xdr:rowOff>
    </xdr:from>
    <xdr:to>
      <xdr:col>15</xdr:col>
      <xdr:colOff>586468</xdr:colOff>
      <xdr:row>3</xdr:row>
      <xdr:rowOff>36467</xdr:rowOff>
    </xdr:to>
    <xdr:pic>
      <xdr:nvPicPr>
        <xdr:cNvPr id="10" name="Gráfico 9" descr="Ajuda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1DFE54-F174-4D47-8D90-EE88D9C4AED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3439775" y="122464"/>
          <a:ext cx="438150" cy="4691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451143</xdr:colOff>
      <xdr:row>1</xdr:row>
      <xdr:rowOff>54522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614D95-4403-4B2D-81C1-2D5583BC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48925" y="0"/>
          <a:ext cx="451143" cy="445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C76EC-6F19-460C-AE54-0C06C18D4CE4}">
  <sheetPr codeName="Folha1"/>
  <dimension ref="A1:BB48"/>
  <sheetViews>
    <sheetView zoomScale="50" zoomScaleNormal="50" workbookViewId="0">
      <selection activeCell="H32" sqref="H32"/>
    </sheetView>
  </sheetViews>
  <sheetFormatPr defaultColWidth="0" defaultRowHeight="14.6" zeroHeight="1" x14ac:dyDescent="0.4"/>
  <cols>
    <col min="1" max="1" width="10.3828125" style="347" customWidth="1"/>
    <col min="2" max="3" width="9.15234375" style="347" customWidth="1"/>
    <col min="4" max="4" width="16.69140625" style="347" customWidth="1"/>
    <col min="5" max="5" width="13" style="347" customWidth="1"/>
    <col min="6" max="13" width="9.15234375" style="347" customWidth="1"/>
    <col min="14" max="17" width="9.15234375" style="347" hidden="1" customWidth="1"/>
    <col min="18" max="54" width="0" style="1" hidden="1" customWidth="1"/>
    <col min="55" max="16384" width="9.15234375" style="1" hidden="1"/>
  </cols>
  <sheetData>
    <row r="1" spans="1:54" customFormat="1" ht="15" x14ac:dyDescent="0.4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</row>
    <row r="2" spans="1:54" customFormat="1" ht="15" x14ac:dyDescent="0.4">
      <c r="A2" s="76"/>
      <c r="B2" s="77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4" customFormat="1" ht="15" x14ac:dyDescent="0.4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</row>
    <row r="4" spans="1:54" customFormat="1" ht="15" x14ac:dyDescent="0.4">
      <c r="A4" s="76"/>
      <c r="B4" s="2" t="s">
        <v>1</v>
      </c>
      <c r="C4" s="2"/>
      <c r="D4" s="2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</row>
    <row r="5" spans="1:54" customFormat="1" ht="15" x14ac:dyDescent="0.4">
      <c r="A5" s="76"/>
      <c r="B5" s="2"/>
      <c r="C5" s="2"/>
      <c r="D5" s="2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customFormat="1" ht="15" x14ac:dyDescent="0.4">
      <c r="A6" s="76"/>
      <c r="B6" s="2" t="s">
        <v>2</v>
      </c>
      <c r="C6" s="2"/>
      <c r="D6" s="2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customFormat="1" ht="15" x14ac:dyDescent="0.4">
      <c r="A7" s="76"/>
      <c r="B7" s="2"/>
      <c r="C7" s="2"/>
      <c r="D7" s="2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customFormat="1" ht="15" x14ac:dyDescent="0.4">
      <c r="A8" s="76"/>
      <c r="B8" s="2" t="s">
        <v>3</v>
      </c>
      <c r="C8" s="2"/>
      <c r="D8" s="2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customFormat="1" ht="15" x14ac:dyDescent="0.4">
      <c r="A9" s="76"/>
      <c r="B9" s="2"/>
      <c r="C9" s="2"/>
      <c r="D9" s="2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customFormat="1" ht="15" x14ac:dyDescent="0.4">
      <c r="A10" s="76"/>
      <c r="B10" s="2" t="s">
        <v>4</v>
      </c>
      <c r="C10" s="2"/>
      <c r="D10" s="2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customFormat="1" ht="15" x14ac:dyDescent="0.4">
      <c r="A11" s="76"/>
      <c r="B11" s="2"/>
      <c r="C11" s="2"/>
      <c r="D11" s="2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customFormat="1" ht="15" x14ac:dyDescent="0.4">
      <c r="A12" s="76"/>
      <c r="B12" s="2" t="s">
        <v>5</v>
      </c>
      <c r="C12" s="2"/>
      <c r="D12" s="2"/>
      <c r="E12" s="2"/>
      <c r="F12" s="2"/>
      <c r="G12" s="2"/>
      <c r="H12" s="2"/>
      <c r="I12" s="2"/>
      <c r="J12" s="76"/>
      <c r="K12" s="76"/>
      <c r="L12" s="76"/>
      <c r="M12" s="76"/>
      <c r="N12" s="76"/>
      <c r="O12" s="76"/>
      <c r="P12" s="76"/>
      <c r="Q12" s="76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customFormat="1" ht="15" x14ac:dyDescent="0.4">
      <c r="A13" s="76"/>
      <c r="B13" s="2"/>
      <c r="C13" s="2"/>
      <c r="D13" s="2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customFormat="1" ht="15" x14ac:dyDescent="0.4">
      <c r="A14" s="76"/>
      <c r="B14" s="2" t="s">
        <v>456</v>
      </c>
      <c r="C14" s="2"/>
      <c r="D14" s="2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customFormat="1" ht="15" x14ac:dyDescent="0.4">
      <c r="A15" s="76"/>
      <c r="B15" s="2"/>
      <c r="C15" s="2"/>
      <c r="D15" s="2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customFormat="1" ht="15" x14ac:dyDescent="0.4">
      <c r="A16" s="76"/>
      <c r="B16" s="565" t="s">
        <v>6</v>
      </c>
      <c r="C16" s="565"/>
      <c r="D16" s="565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customFormat="1" ht="15" x14ac:dyDescent="0.4">
      <c r="A17" s="76"/>
      <c r="B17" s="2"/>
      <c r="C17" s="2"/>
      <c r="D17" s="2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customFormat="1" ht="15" x14ac:dyDescent="0.4">
      <c r="A18" s="76"/>
      <c r="B18" s="2" t="s">
        <v>7</v>
      </c>
      <c r="C18" s="2"/>
      <c r="D18" s="2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customFormat="1" ht="7.5" customHeight="1" x14ac:dyDescent="0.4">
      <c r="A19" s="76"/>
      <c r="B19" s="2"/>
      <c r="C19" s="2"/>
      <c r="D19" s="2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customFormat="1" ht="2.15" customHeight="1" x14ac:dyDescent="0.4">
      <c r="A20" s="76"/>
      <c r="B20" s="2"/>
      <c r="C20" s="2"/>
      <c r="D20" s="2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customFormat="1" ht="16.3" customHeight="1" x14ac:dyDescent="0.4">
      <c r="A21" s="76"/>
      <c r="B21" s="565" t="s">
        <v>360</v>
      </c>
      <c r="C21" s="565"/>
      <c r="D21" s="565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customFormat="1" ht="15" x14ac:dyDescent="0.4">
      <c r="A22" s="76"/>
      <c r="B22" s="2"/>
      <c r="C22" s="2"/>
      <c r="D22" s="2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customFormat="1" ht="15" x14ac:dyDescent="0.4">
      <c r="A23" s="76"/>
      <c r="B23" s="565" t="s">
        <v>361</v>
      </c>
      <c r="C23" s="565"/>
      <c r="D23" s="565"/>
      <c r="E23" s="207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customFormat="1" ht="15" x14ac:dyDescent="0.4">
      <c r="A24" s="76"/>
      <c r="B24" s="2"/>
      <c r="C24" s="2"/>
      <c r="D24" s="2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customFormat="1" ht="15" x14ac:dyDescent="0.4">
      <c r="A25" s="76"/>
      <c r="B25" s="2" t="s">
        <v>496</v>
      </c>
      <c r="C25" s="2"/>
      <c r="D25" s="2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customFormat="1" ht="15" x14ac:dyDescent="0.4">
      <c r="A26" s="76"/>
      <c r="B26" s="2"/>
      <c r="C26" s="2"/>
      <c r="D26" s="2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customFormat="1" ht="15" x14ac:dyDescent="0.4">
      <c r="A27" s="76"/>
      <c r="B27" s="2" t="s">
        <v>497</v>
      </c>
      <c r="C27" s="2"/>
      <c r="D27" s="2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customFormat="1" ht="15" x14ac:dyDescent="0.4">
      <c r="A28" s="76"/>
      <c r="B28" s="2"/>
      <c r="C28" s="2"/>
      <c r="D28" s="2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customFormat="1" ht="15" x14ac:dyDescent="0.4">
      <c r="A29" s="76"/>
      <c r="B29" s="565" t="s">
        <v>452</v>
      </c>
      <c r="C29" s="565"/>
      <c r="D29" s="565"/>
      <c r="E29" s="76"/>
      <c r="F29" s="76"/>
      <c r="G29" s="76"/>
      <c r="H29" s="76"/>
      <c r="I29" s="75"/>
      <c r="J29" s="76"/>
      <c r="K29" s="76"/>
      <c r="L29" s="76"/>
      <c r="M29" s="76"/>
      <c r="N29" s="76"/>
      <c r="O29" s="76"/>
      <c r="P29" s="76"/>
      <c r="Q29" s="7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customFormat="1" ht="15" x14ac:dyDescent="0.4">
      <c r="A30" s="76"/>
      <c r="B30" s="2"/>
      <c r="C30" s="2"/>
      <c r="D30" s="2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customFormat="1" ht="15" x14ac:dyDescent="0.4">
      <c r="A31" s="76"/>
      <c r="B31" s="2" t="s">
        <v>499</v>
      </c>
      <c r="C31" s="2"/>
      <c r="D31" s="2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customFormat="1" ht="15" x14ac:dyDescent="0.4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customFormat="1" ht="15" x14ac:dyDescent="0.4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6.5" customHeight="1" x14ac:dyDescent="0.4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57"/>
    </row>
    <row r="48" spans="1:54" x14ac:dyDescent="0.4"/>
  </sheetData>
  <sheetProtection selectLockedCells="1"/>
  <mergeCells count="4">
    <mergeCell ref="B16:D16"/>
    <mergeCell ref="B29:D29"/>
    <mergeCell ref="B21:D21"/>
    <mergeCell ref="B23:D23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CB4F-7AA8-4BA8-ABDF-D1F797D71631}">
  <sheetPr>
    <tabColor theme="8" tint="0.79998168889431442"/>
  </sheetPr>
  <dimension ref="A1:BD95"/>
  <sheetViews>
    <sheetView topLeftCell="O3" zoomScale="80" zoomScaleNormal="80" workbookViewId="0">
      <selection activeCell="V5" sqref="V5:Z11"/>
    </sheetView>
  </sheetViews>
  <sheetFormatPr defaultColWidth="0" defaultRowHeight="14.6" zeroHeight="1" x14ac:dyDescent="0.4"/>
  <cols>
    <col min="1" max="1" width="9.15234375" customWidth="1"/>
    <col min="2" max="2" width="30" customWidth="1"/>
    <col min="3" max="4" width="17.53515625" customWidth="1"/>
    <col min="5" max="5" width="21.3828125" customWidth="1"/>
    <col min="6" max="6" width="13.69140625" customWidth="1"/>
    <col min="7" max="7" width="14.3046875" customWidth="1"/>
    <col min="8" max="8" width="14.69140625" customWidth="1"/>
    <col min="9" max="9" width="17.69140625" customWidth="1"/>
    <col min="10" max="10" width="22.3046875" customWidth="1"/>
    <col min="11" max="11" width="17.15234375" customWidth="1"/>
    <col min="12" max="12" width="23.3828125" customWidth="1"/>
    <col min="13" max="13" width="17.69140625" customWidth="1"/>
    <col min="14" max="14" width="13.69140625" customWidth="1"/>
    <col min="15" max="15" width="14.53515625" customWidth="1"/>
    <col min="16" max="16" width="17.3828125" customWidth="1"/>
    <col min="17" max="17" width="21.84375" customWidth="1"/>
    <col min="18" max="18" width="23" customWidth="1"/>
    <col min="19" max="19" width="16.3046875" bestFit="1" customWidth="1"/>
    <col min="20" max="20" width="14.3046875" customWidth="1"/>
    <col min="21" max="21" width="14.84375" customWidth="1"/>
    <col min="22" max="22" width="17.3828125" customWidth="1"/>
    <col min="23" max="23" width="22.3046875" customWidth="1"/>
    <col min="24" max="24" width="23" customWidth="1"/>
    <col min="25" max="25" width="16.15234375" customWidth="1"/>
    <col min="26" max="26" width="13.84375" customWidth="1"/>
    <col min="27" max="27" width="14.3046875" customWidth="1"/>
    <col min="28" max="28" width="9.15234375" customWidth="1"/>
    <col min="29" max="30" width="9.15234375" hidden="1" customWidth="1"/>
    <col min="31" max="56" width="0" hidden="1" customWidth="1"/>
    <col min="57" max="16384" width="9.15234375" hidden="1"/>
  </cols>
  <sheetData>
    <row r="1" spans="1:56" ht="33.7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15" customHeight="1" x14ac:dyDescent="0.4">
      <c r="A2" s="1"/>
      <c r="B2" s="607" t="s">
        <v>219</v>
      </c>
      <c r="C2" s="607" t="s">
        <v>227</v>
      </c>
      <c r="D2" s="607" t="s">
        <v>228</v>
      </c>
      <c r="E2" s="607" t="s">
        <v>229</v>
      </c>
      <c r="F2" s="613" t="s">
        <v>485</v>
      </c>
      <c r="G2" s="613"/>
      <c r="H2" s="613"/>
      <c r="I2" s="614" t="s">
        <v>371</v>
      </c>
      <c r="J2" s="614"/>
      <c r="K2" s="614"/>
      <c r="L2" s="614"/>
      <c r="M2" s="614"/>
      <c r="N2" s="614"/>
      <c r="O2" s="606" t="s">
        <v>370</v>
      </c>
      <c r="P2" s="615" t="s">
        <v>387</v>
      </c>
      <c r="Q2" s="616"/>
      <c r="R2" s="616"/>
      <c r="S2" s="616"/>
      <c r="T2" s="617"/>
      <c r="U2" s="606" t="s">
        <v>389</v>
      </c>
      <c r="V2" s="615" t="s">
        <v>486</v>
      </c>
      <c r="W2" s="616"/>
      <c r="X2" s="616"/>
      <c r="Y2" s="616"/>
      <c r="Z2" s="617"/>
      <c r="AA2" s="606" t="s">
        <v>487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6" ht="65.25" customHeight="1" x14ac:dyDescent="0.4">
      <c r="A3" s="1"/>
      <c r="B3" s="608"/>
      <c r="C3" s="609"/>
      <c r="D3" s="609"/>
      <c r="E3" s="609"/>
      <c r="F3" s="498" t="s">
        <v>220</v>
      </c>
      <c r="G3" s="506" t="s">
        <v>221</v>
      </c>
      <c r="H3" s="506" t="s">
        <v>222</v>
      </c>
      <c r="I3" s="499" t="s">
        <v>223</v>
      </c>
      <c r="J3" s="499" t="s">
        <v>224</v>
      </c>
      <c r="K3" s="499" t="s">
        <v>489</v>
      </c>
      <c r="L3" s="499" t="s">
        <v>369</v>
      </c>
      <c r="M3" s="499" t="s">
        <v>225</v>
      </c>
      <c r="N3" s="499" t="s">
        <v>226</v>
      </c>
      <c r="O3" s="606"/>
      <c r="P3" s="499" t="s">
        <v>223</v>
      </c>
      <c r="Q3" s="499" t="s">
        <v>224</v>
      </c>
      <c r="R3" s="499" t="s">
        <v>388</v>
      </c>
      <c r="S3" s="499" t="s">
        <v>225</v>
      </c>
      <c r="T3" s="499" t="s">
        <v>226</v>
      </c>
      <c r="U3" s="606"/>
      <c r="V3" s="499" t="s">
        <v>223</v>
      </c>
      <c r="W3" s="499" t="s">
        <v>224</v>
      </c>
      <c r="X3" s="499" t="s">
        <v>491</v>
      </c>
      <c r="Y3" s="499" t="s">
        <v>225</v>
      </c>
      <c r="Z3" s="499" t="s">
        <v>226</v>
      </c>
      <c r="AA3" s="606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6" ht="39.75" customHeight="1" x14ac:dyDescent="0.4">
      <c r="A4" s="1"/>
      <c r="B4" s="609"/>
      <c r="C4" s="134"/>
      <c r="D4" s="134"/>
      <c r="E4" s="501" t="s">
        <v>236</v>
      </c>
      <c r="F4" s="610"/>
      <c r="G4" s="611"/>
      <c r="H4" s="612"/>
      <c r="I4" s="501" t="s">
        <v>237</v>
      </c>
      <c r="J4" s="135"/>
      <c r="K4" s="502" t="s">
        <v>238</v>
      </c>
      <c r="L4" s="502" t="s">
        <v>239</v>
      </c>
      <c r="M4" s="502" t="s">
        <v>240</v>
      </c>
      <c r="N4" s="502" t="s">
        <v>241</v>
      </c>
      <c r="O4" s="502" t="s">
        <v>242</v>
      </c>
      <c r="P4" s="502" t="s">
        <v>237</v>
      </c>
      <c r="Q4" s="499"/>
      <c r="R4" s="502" t="s">
        <v>239</v>
      </c>
      <c r="S4" s="502" t="s">
        <v>240</v>
      </c>
      <c r="T4" s="502" t="s">
        <v>241</v>
      </c>
      <c r="U4" s="503" t="s">
        <v>490</v>
      </c>
      <c r="V4" s="502" t="s">
        <v>237</v>
      </c>
      <c r="W4" s="499"/>
      <c r="X4" s="502" t="s">
        <v>239</v>
      </c>
      <c r="Y4" s="502" t="s">
        <v>240</v>
      </c>
      <c r="Z4" s="502" t="s">
        <v>241</v>
      </c>
      <c r="AA4" s="502" t="s">
        <v>492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6" ht="28.5" customHeight="1" x14ac:dyDescent="0.4">
      <c r="A5" s="1"/>
      <c r="B5" s="515" t="s">
        <v>230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3">
        <f>E5-I5+K5+L5+M5+N5</f>
        <v>0</v>
      </c>
      <c r="P5" s="132"/>
      <c r="Q5" s="132"/>
      <c r="R5" s="132"/>
      <c r="S5" s="132"/>
      <c r="T5" s="132"/>
      <c r="U5" s="504">
        <f>O5-P5+R5+S5+T5</f>
        <v>0</v>
      </c>
      <c r="V5" s="132"/>
      <c r="W5" s="132"/>
      <c r="X5" s="132"/>
      <c r="Y5" s="132"/>
      <c r="Z5" s="132"/>
      <c r="AA5" s="504">
        <f>U5-V5+X5+Y5+Z5</f>
        <v>0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6" ht="28.5" customHeight="1" x14ac:dyDescent="0.4">
      <c r="A6" s="1"/>
      <c r="B6" s="515" t="s">
        <v>231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3">
        <f t="shared" ref="O6:O11" si="0">E6-I6+K6+L6+M6+N6</f>
        <v>0</v>
      </c>
      <c r="P6" s="132"/>
      <c r="Q6" s="132"/>
      <c r="R6" s="132"/>
      <c r="S6" s="132"/>
      <c r="T6" s="132"/>
      <c r="U6" s="504">
        <f t="shared" ref="U6:U11" si="1">O6-P6+R6+S6+T6</f>
        <v>0</v>
      </c>
      <c r="V6" s="132"/>
      <c r="W6" s="132"/>
      <c r="X6" s="132"/>
      <c r="Y6" s="132"/>
      <c r="Z6" s="132"/>
      <c r="AA6" s="504">
        <f t="shared" ref="AA6:AA10" si="2">U6-V6+X6+Y6+Z6</f>
        <v>0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6" ht="28.5" customHeight="1" x14ac:dyDescent="0.4">
      <c r="A7" s="1"/>
      <c r="B7" s="515" t="s">
        <v>232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3">
        <f t="shared" si="0"/>
        <v>0</v>
      </c>
      <c r="P7" s="132"/>
      <c r="Q7" s="132"/>
      <c r="R7" s="132"/>
      <c r="S7" s="132"/>
      <c r="T7" s="132"/>
      <c r="U7" s="504">
        <f t="shared" si="1"/>
        <v>0</v>
      </c>
      <c r="V7" s="132"/>
      <c r="W7" s="132"/>
      <c r="X7" s="132"/>
      <c r="Y7" s="132"/>
      <c r="Z7" s="132"/>
      <c r="AA7" s="504">
        <f t="shared" si="2"/>
        <v>0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6" ht="28.5" customHeight="1" x14ac:dyDescent="0.4">
      <c r="A8" s="1"/>
      <c r="B8" s="515" t="s">
        <v>233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3">
        <f t="shared" si="0"/>
        <v>0</v>
      </c>
      <c r="P8" s="132"/>
      <c r="Q8" s="132"/>
      <c r="R8" s="132"/>
      <c r="S8" s="132"/>
      <c r="T8" s="132"/>
      <c r="U8" s="504">
        <f t="shared" si="1"/>
        <v>0</v>
      </c>
      <c r="V8" s="132"/>
      <c r="W8" s="132"/>
      <c r="X8" s="132"/>
      <c r="Y8" s="132"/>
      <c r="Z8" s="132"/>
      <c r="AA8" s="504">
        <f t="shared" si="2"/>
        <v>0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6" ht="28.5" customHeight="1" x14ac:dyDescent="0.4">
      <c r="A9" s="1"/>
      <c r="B9" s="515" t="s">
        <v>234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3">
        <f t="shared" si="0"/>
        <v>0</v>
      </c>
      <c r="P9" s="132"/>
      <c r="Q9" s="132"/>
      <c r="R9" s="132"/>
      <c r="S9" s="132"/>
      <c r="T9" s="132"/>
      <c r="U9" s="504">
        <f t="shared" si="1"/>
        <v>0</v>
      </c>
      <c r="V9" s="132"/>
      <c r="W9" s="132"/>
      <c r="X9" s="132"/>
      <c r="Y9" s="132"/>
      <c r="Z9" s="132"/>
      <c r="AA9" s="504">
        <f t="shared" si="2"/>
        <v>0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6" ht="28.5" customHeight="1" x14ac:dyDescent="0.4">
      <c r="A10" s="1"/>
      <c r="B10" s="515" t="s">
        <v>488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>
        <f t="shared" si="0"/>
        <v>0</v>
      </c>
      <c r="P10" s="132"/>
      <c r="Q10" s="132"/>
      <c r="R10" s="132"/>
      <c r="S10" s="132"/>
      <c r="T10" s="132"/>
      <c r="U10" s="504">
        <f t="shared" si="1"/>
        <v>0</v>
      </c>
      <c r="V10" s="132"/>
      <c r="W10" s="132"/>
      <c r="X10" s="132"/>
      <c r="Y10" s="132"/>
      <c r="Z10" s="132"/>
      <c r="AA10" s="504">
        <f t="shared" si="2"/>
        <v>0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6" ht="28.5" customHeight="1" x14ac:dyDescent="0.4">
      <c r="A11" s="1"/>
      <c r="B11" s="515" t="s">
        <v>232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>
        <f t="shared" si="0"/>
        <v>0</v>
      </c>
      <c r="P11" s="132"/>
      <c r="Q11" s="132"/>
      <c r="R11" s="132"/>
      <c r="S11" s="132"/>
      <c r="T11" s="132"/>
      <c r="U11" s="504">
        <f t="shared" si="1"/>
        <v>0</v>
      </c>
      <c r="V11" s="132"/>
      <c r="W11" s="132"/>
      <c r="X11" s="132"/>
      <c r="Y11" s="132"/>
      <c r="Z11" s="132"/>
      <c r="AA11" s="504">
        <f>U11-V11+X11+Y11+Z11</f>
        <v>0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6" ht="28.5" customHeight="1" x14ac:dyDescent="0.4">
      <c r="A12" s="1"/>
      <c r="B12" s="514" t="s">
        <v>235</v>
      </c>
      <c r="C12" s="133">
        <f>SUM(C5:C11)</f>
        <v>0</v>
      </c>
      <c r="D12" s="133">
        <f>SUM(D5:D11)</f>
        <v>0</v>
      </c>
      <c r="E12" s="133">
        <f t="shared" ref="E12:M12" si="3">SUM(E5:E11)</f>
        <v>0</v>
      </c>
      <c r="F12" s="133" t="str">
        <f>IF(COUNT(F5:F11)=0,"",AVERAGE(F5:F11))</f>
        <v/>
      </c>
      <c r="G12" s="133">
        <f t="shared" si="3"/>
        <v>0</v>
      </c>
      <c r="H12" s="133">
        <f t="shared" si="3"/>
        <v>0</v>
      </c>
      <c r="I12" s="133">
        <f t="shared" si="3"/>
        <v>0</v>
      </c>
      <c r="J12" s="133">
        <f>SUM(J5:J11)</f>
        <v>0</v>
      </c>
      <c r="K12" s="133">
        <f>SUM(K5:K11)</f>
        <v>0</v>
      </c>
      <c r="L12" s="133">
        <f t="shared" si="3"/>
        <v>0</v>
      </c>
      <c r="M12" s="133">
        <f t="shared" si="3"/>
        <v>0</v>
      </c>
      <c r="N12" s="133">
        <f>SUM(N5:N11)</f>
        <v>0</v>
      </c>
      <c r="O12" s="133">
        <f t="shared" ref="O12" si="4">SUM(O5:O11)</f>
        <v>0</v>
      </c>
      <c r="P12" s="133">
        <f t="shared" ref="P12" si="5">SUM(P5:P11)</f>
        <v>0</v>
      </c>
      <c r="Q12" s="133">
        <f>SUM(Q5:Q11)</f>
        <v>0</v>
      </c>
      <c r="R12" s="133">
        <f t="shared" ref="R12" si="6">SUM(R5:R11)</f>
        <v>0</v>
      </c>
      <c r="S12" s="133">
        <f>SUM(S5:S11)</f>
        <v>0</v>
      </c>
      <c r="T12" s="133">
        <f>SUM(T5:T11)</f>
        <v>0</v>
      </c>
      <c r="U12" s="133">
        <f t="shared" ref="U12" si="7">SUM(U5:U11)</f>
        <v>0</v>
      </c>
      <c r="V12" s="133">
        <f>SUM(V5:V11)</f>
        <v>0</v>
      </c>
      <c r="W12" s="133">
        <f>SUM(W5:W11)</f>
        <v>0</v>
      </c>
      <c r="X12" s="133">
        <f t="shared" ref="X12" si="8">SUM(X5:X11)</f>
        <v>0</v>
      </c>
      <c r="Y12" s="133">
        <f>SUM(Y5:Y11)</f>
        <v>0</v>
      </c>
      <c r="Z12" s="133">
        <f>SUM(Z5:Z11)</f>
        <v>0</v>
      </c>
      <c r="AA12" s="133">
        <f t="shared" ref="AA12" si="9">SUM(AA5:AA11)</f>
        <v>0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6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6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6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6" hidden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idden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76"/>
      <c r="P17" s="1"/>
      <c r="Q17" s="1"/>
      <c r="R17" s="1"/>
      <c r="S17" s="1"/>
      <c r="T17" s="1"/>
      <c r="U17" s="276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idden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76"/>
      <c r="P18" s="1"/>
      <c r="Q18" s="1"/>
      <c r="R18" s="1"/>
      <c r="S18" s="1"/>
      <c r="T18" s="1"/>
      <c r="U18" s="276"/>
      <c r="V18" s="1"/>
      <c r="W18" s="1"/>
      <c r="X18" s="1"/>
      <c r="Y18" s="1"/>
      <c r="Z18" s="1"/>
      <c r="AA18" s="276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idden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76"/>
      <c r="P19" s="1"/>
      <c r="Q19" s="1"/>
      <c r="R19" s="1"/>
      <c r="S19" s="1"/>
      <c r="T19" s="1"/>
      <c r="U19" s="276"/>
      <c r="V19" s="1"/>
      <c r="W19" s="1"/>
      <c r="X19" s="1"/>
      <c r="Y19" s="1"/>
      <c r="Z19" s="1"/>
      <c r="AA19" s="276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idden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276"/>
      <c r="P20" s="1"/>
      <c r="Q20" s="1"/>
      <c r="R20" s="1"/>
      <c r="S20" s="1"/>
      <c r="T20" s="1"/>
      <c r="U20" s="276"/>
      <c r="V20" s="1"/>
      <c r="W20" s="1"/>
      <c r="X20" s="1"/>
      <c r="Y20" s="1"/>
      <c r="Z20" s="1"/>
      <c r="AA20" s="276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idden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76"/>
      <c r="P21" s="1"/>
      <c r="Q21" s="1"/>
      <c r="R21" s="1"/>
      <c r="S21" s="1"/>
      <c r="T21" s="1"/>
      <c r="U21" s="276"/>
      <c r="V21" s="1"/>
      <c r="W21" s="1"/>
      <c r="X21" s="1"/>
      <c r="Y21" s="1"/>
      <c r="Z21" s="1"/>
      <c r="AA21" s="276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idden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276"/>
      <c r="P22" s="1"/>
      <c r="Q22" s="1"/>
      <c r="R22" s="1"/>
      <c r="S22" s="1"/>
      <c r="T22" s="1"/>
      <c r="U22" s="276"/>
      <c r="V22" s="1"/>
      <c r="W22" s="1"/>
      <c r="X22" s="1"/>
      <c r="Y22" s="1"/>
      <c r="Z22" s="1"/>
      <c r="AA22" s="276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idden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276"/>
      <c r="P23" s="1"/>
      <c r="Q23" s="1"/>
      <c r="R23" s="1"/>
      <c r="S23" s="1"/>
      <c r="T23" s="1"/>
      <c r="U23" s="276"/>
      <c r="V23" s="1"/>
      <c r="W23" s="1"/>
      <c r="X23" s="1"/>
      <c r="Y23" s="1"/>
      <c r="Z23" s="1"/>
      <c r="AA23" s="276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idden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76"/>
      <c r="P24" s="1"/>
      <c r="Q24" s="1"/>
      <c r="R24" s="1"/>
      <c r="S24" s="1"/>
      <c r="T24" s="1"/>
      <c r="U24" s="276"/>
      <c r="V24" s="1"/>
      <c r="W24" s="1"/>
      <c r="X24" s="1"/>
      <c r="Y24" s="1"/>
      <c r="Z24" s="1"/>
      <c r="AA24" s="276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idden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276"/>
      <c r="P25" s="1"/>
      <c r="Q25" s="1"/>
      <c r="R25" s="1"/>
      <c r="S25" s="1"/>
      <c r="T25" s="1"/>
      <c r="U25" s="276"/>
      <c r="V25" s="1"/>
      <c r="W25" s="1"/>
      <c r="X25" s="1"/>
      <c r="Y25" s="1"/>
      <c r="Z25" s="1"/>
      <c r="AA25" s="276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idden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276"/>
      <c r="P26" s="1"/>
      <c r="Q26" s="1"/>
      <c r="R26" s="1"/>
      <c r="S26" s="1"/>
      <c r="T26" s="1"/>
      <c r="U26" s="276"/>
      <c r="V26" s="1"/>
      <c r="W26" s="1"/>
      <c r="X26" s="1"/>
      <c r="Y26" s="1"/>
      <c r="Z26" s="1"/>
      <c r="AA26" s="276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idden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276"/>
      <c r="P27" s="1"/>
      <c r="Q27" s="1"/>
      <c r="R27" s="1"/>
      <c r="S27" s="1"/>
      <c r="T27" s="1"/>
      <c r="U27" s="276"/>
      <c r="V27" s="1"/>
      <c r="W27" s="1"/>
      <c r="X27" s="1"/>
      <c r="Y27" s="1"/>
      <c r="Z27" s="1"/>
      <c r="AA27" s="276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idden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76"/>
      <c r="P28" s="1"/>
      <c r="Q28" s="1"/>
      <c r="R28" s="1"/>
      <c r="S28" s="1"/>
      <c r="T28" s="1"/>
      <c r="U28" s="276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idden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7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idden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7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idden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idden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idden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idden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idden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idden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</row>
    <row r="37" spans="1:53" hidden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3" hidden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3" hidden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</row>
    <row r="40" spans="1:53" hidden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</row>
    <row r="41" spans="1:53" hidden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</row>
    <row r="42" spans="1:53" hidden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</row>
    <row r="43" spans="1:53" hidden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3" hidden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</row>
    <row r="45" spans="1:53" hidden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</row>
    <row r="46" spans="1:53" hidden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</row>
    <row r="47" spans="1:53" hidden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</row>
    <row r="48" spans="1:53" hidden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idden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hidden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hidden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hidden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hidden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</row>
    <row r="54" spans="1:50" hidden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</row>
    <row r="55" spans="1:50" hidden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</row>
    <row r="56" spans="1:50" hidden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</row>
    <row r="57" spans="1:50" hidden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</row>
    <row r="58" spans="1:50" hidden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</row>
    <row r="59" spans="1:50" hidden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idden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idden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</row>
    <row r="62" spans="1:50" hidden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</row>
    <row r="63" spans="1:50" hidden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</row>
    <row r="64" spans="1:50" hidden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</row>
    <row r="65" spans="1:50" hidden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</row>
    <row r="66" spans="1:50" hidden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</row>
    <row r="67" spans="1:50" hidden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</row>
    <row r="68" spans="1:50" hidden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</row>
    <row r="69" spans="1:50" hidden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</row>
    <row r="70" spans="1:50" hidden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</row>
    <row r="71" spans="1:50" hidden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</row>
    <row r="72" spans="1:50" hidden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</row>
    <row r="73" spans="1:50" hidden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</row>
    <row r="74" spans="1:50" hidden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</row>
    <row r="75" spans="1:50" hidden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</row>
    <row r="76" spans="1:50" hidden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</row>
    <row r="77" spans="1:50" hidden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</row>
    <row r="78" spans="1:50" hidden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</row>
    <row r="79" spans="1:50" hidden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</row>
    <row r="80" spans="1:50" hidden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</row>
    <row r="81" spans="1:50" hidden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</row>
    <row r="82" spans="1:50" hidden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</row>
    <row r="83" spans="1:50" hidden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</row>
    <row r="84" spans="1:50" hidden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</row>
    <row r="85" spans="1:50" hidden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</row>
    <row r="86" spans="1:50" hidden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idden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idden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</row>
    <row r="89" spans="1:50" hidden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idden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idden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idden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idden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hidden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50" hidden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</sheetData>
  <sheetProtection selectLockedCells="1"/>
  <mergeCells count="12">
    <mergeCell ref="U2:U3"/>
    <mergeCell ref="AA2:AA3"/>
    <mergeCell ref="B2:B4"/>
    <mergeCell ref="F4:H4"/>
    <mergeCell ref="D2:D3"/>
    <mergeCell ref="E2:E3"/>
    <mergeCell ref="C2:C3"/>
    <mergeCell ref="F2:H2"/>
    <mergeCell ref="I2:N2"/>
    <mergeCell ref="O2:O3"/>
    <mergeCell ref="V2:Z2"/>
    <mergeCell ref="P2:T2"/>
  </mergeCells>
  <dataValidations count="3">
    <dataValidation type="whole" operator="greaterThanOrEqual" allowBlank="1" showInputMessage="1" showErrorMessage="1" error="Introduzir número superior ou igual a zero_x000a_" sqref="C5:N11" xr:uid="{DBB0194A-A9F9-4082-89E1-2A939B3EA3A3}">
      <formula1>0</formula1>
    </dataValidation>
    <dataValidation type="whole" operator="greaterThanOrEqual" allowBlank="1" showInputMessage="1" showErrorMessage="1" error="Introduzir número igual ou superior a zero" sqref="P5:T11" xr:uid="{A8C87063-92A0-432E-9704-4B77456B81C8}">
      <formula1>0</formula1>
    </dataValidation>
    <dataValidation type="whole" operator="greaterThanOrEqual" allowBlank="1" showInputMessage="1" showErrorMessage="1" error="Introduzir nº igual ou superior a zero" sqref="V5:Z11" xr:uid="{D2C7407E-8EA3-4906-81F8-B133E2C1E3E7}">
      <formula1>0</formula1>
    </dataValidation>
  </dataValidations>
  <pageMargins left="0.7" right="0.7" top="0.75" bottom="0.75" header="0.3" footer="0.3"/>
  <pageSetup paperSize="9" orientation="portrait" verticalDpi="0" r:id="rId1"/>
  <ignoredErrors>
    <ignoredError sqref="E4:N4 P4:R4 V4:Z4 S4:T4" numberStoredAsText="1"/>
    <ignoredError sqref="F12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A551-EB05-409C-8E31-ACFDC6035955}">
  <sheetPr>
    <tabColor theme="8" tint="0.79998168889431442"/>
  </sheetPr>
  <dimension ref="A1:U453"/>
  <sheetViews>
    <sheetView workbookViewId="0">
      <selection activeCell="C13" sqref="C13"/>
    </sheetView>
  </sheetViews>
  <sheetFormatPr defaultColWidth="0" defaultRowHeight="14.6" zeroHeight="1" x14ac:dyDescent="0.4"/>
  <cols>
    <col min="1" max="1" width="9.23046875" customWidth="1"/>
    <col min="2" max="2" width="37.23046875" customWidth="1"/>
    <col min="3" max="3" width="15.3828125" customWidth="1"/>
    <col min="4" max="4" width="13.84375" customWidth="1"/>
    <col min="5" max="5" width="14.921875" customWidth="1"/>
    <col min="6" max="6" width="14.69140625" customWidth="1"/>
    <col min="7" max="7" width="15.23046875" customWidth="1"/>
    <col min="8" max="9" width="9.23046875" customWidth="1"/>
    <col min="10" max="13" width="9.23046875" hidden="1" customWidth="1"/>
    <col min="14" max="21" width="0" hidden="1" customWidth="1"/>
    <col min="22" max="16384" width="9.23046875" hidden="1"/>
  </cols>
  <sheetData>
    <row r="1" spans="1:21" ht="38.6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1.3" customHeight="1" x14ac:dyDescent="0.4">
      <c r="A2" s="1"/>
      <c r="B2" s="505" t="s">
        <v>493</v>
      </c>
      <c r="C2" s="505" t="s">
        <v>228</v>
      </c>
      <c r="D2" s="505" t="s">
        <v>229</v>
      </c>
      <c r="E2" s="507" t="s">
        <v>370</v>
      </c>
      <c r="F2" s="507" t="s">
        <v>389</v>
      </c>
      <c r="G2" s="507" t="s">
        <v>487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7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6" customHeight="1" x14ac:dyDescent="0.4">
      <c r="A4" s="1"/>
      <c r="B4" s="132"/>
      <c r="C4" s="132"/>
      <c r="D4" s="132"/>
      <c r="E4" s="132"/>
      <c r="F4" s="132"/>
      <c r="G4" s="13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6" customHeight="1" x14ac:dyDescent="0.4">
      <c r="A5" s="1"/>
      <c r="B5" s="132"/>
      <c r="C5" s="132"/>
      <c r="D5" s="132"/>
      <c r="E5" s="132"/>
      <c r="F5" s="132"/>
      <c r="G5" s="13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.450000000000003" customHeight="1" x14ac:dyDescent="0.4">
      <c r="A6" s="1"/>
      <c r="B6" s="132"/>
      <c r="C6" s="132"/>
      <c r="D6" s="132"/>
      <c r="E6" s="132"/>
      <c r="F6" s="132"/>
      <c r="G6" s="13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5.6" customHeight="1" x14ac:dyDescent="0.4">
      <c r="A7" s="1"/>
      <c r="B7" s="132"/>
      <c r="C7" s="132"/>
      <c r="D7" s="132"/>
      <c r="E7" s="132"/>
      <c r="F7" s="132"/>
      <c r="G7" s="13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6.450000000000003" customHeight="1" x14ac:dyDescent="0.4">
      <c r="A8" s="1"/>
      <c r="B8" s="132"/>
      <c r="C8" s="132"/>
      <c r="D8" s="132"/>
      <c r="E8" s="132"/>
      <c r="F8" s="132"/>
      <c r="G8" s="13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6" customHeight="1" x14ac:dyDescent="0.4">
      <c r="A9" s="1"/>
      <c r="B9" s="132"/>
      <c r="C9" s="132"/>
      <c r="D9" s="132"/>
      <c r="E9" s="132"/>
      <c r="F9" s="132"/>
      <c r="G9" s="13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6.450000000000003" customHeight="1" x14ac:dyDescent="0.4">
      <c r="A10" s="1"/>
      <c r="B10" s="132"/>
      <c r="C10" s="132"/>
      <c r="D10" s="132"/>
      <c r="E10" s="132"/>
      <c r="F10" s="132"/>
      <c r="G10" s="13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9.4499999999999993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x14ac:dyDescent="0.4">
      <c r="A12" s="1"/>
      <c r="B12" s="500" t="s">
        <v>235</v>
      </c>
      <c r="C12" s="133">
        <f>SUM(C4:C10)</f>
        <v>0</v>
      </c>
      <c r="D12" s="133">
        <f>SUM(D4:D10)</f>
        <v>0</v>
      </c>
      <c r="E12" s="133">
        <f>SUM(E4:E10)</f>
        <v>0</v>
      </c>
      <c r="F12" s="133">
        <f>SUM(F4:F10)</f>
        <v>0</v>
      </c>
      <c r="G12" s="133">
        <f>SUM(G4:G10)</f>
        <v>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idden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idden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idden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idden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idden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idden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idden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idden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idden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idden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idden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idden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idden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idden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idden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idden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idden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idden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idden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idden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idden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idden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idden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idden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idden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idden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idden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idden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idden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idden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idden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idden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idden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idden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idden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idden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idden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idden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idden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idden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idden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idden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idden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idden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idden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idden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idden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idden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idden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idden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idden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idden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idden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idden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idden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idden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idden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idden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idden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idden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idden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idden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idden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idden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idden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idden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idden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idden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idden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idden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idden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idden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idden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idden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idden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idden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idden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idden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idden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idden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idden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idden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idden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idden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idden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idden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idden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idden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idden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idden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idden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idden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idden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idden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idden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idden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idden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idden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idden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idden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idden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idden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idden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idden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idden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idden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idden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idden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idden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idden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idden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idden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idden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idden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idden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idden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idden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idden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idden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idden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idden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idden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idden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idden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idden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idden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idden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idden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idden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idden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idden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idden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idden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idden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idden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idden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idden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idden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idden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idden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idden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idden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idden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idden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idden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idden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idden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idden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idden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idden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idden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idden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idden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idden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idden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idden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idden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idden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idden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idden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idden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idden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idden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idden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idden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idden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idden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idden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idden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idden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idden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idden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idden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idden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idden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idden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idden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idden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idden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idden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idden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idden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idden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idden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idden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idden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idden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idden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idden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idden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idden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idden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idden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idden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idden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idden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idden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idden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idden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idden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idden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idden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idden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idden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idden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idden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idden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idden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idden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idden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idden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idden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idden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idden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idden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idden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idden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idden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idden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idden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idden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idden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idden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idden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idden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idden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idden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idden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idden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idden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idden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idden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idden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idden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idden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idden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idden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idden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idden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idden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idden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idden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idden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idden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idden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idden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idden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idden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idden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idden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idden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idden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idden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idden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idden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idden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idden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idden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idden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idden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idden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idden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idden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idden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idden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idden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idden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idden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idden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idden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idden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idden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idden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idden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idden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idden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idden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idden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idden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idden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idden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idden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idden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idden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idden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idden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idden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idden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idden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idden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idden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idden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idden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idden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idden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idden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idden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idden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idden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idden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idden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idden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idden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idden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idden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idden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idden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idden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idden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idden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idden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idden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idden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idden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idden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idden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idden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idden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idden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idden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idden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idden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idden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idden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idden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idden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idden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idden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idden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idden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idden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idden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idden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idden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idden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idden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idden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idden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idden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idden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idden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idden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idden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idden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idden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idden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idden="1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idden="1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idden="1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idden="1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idden="1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idden="1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idden="1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idden="1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idden="1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idden="1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idden="1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idden="1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idden="1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idden="1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idden="1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idden="1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idden="1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idden="1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idden="1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idden="1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idden="1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idden="1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idden="1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idden="1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idden="1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idden="1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idden="1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idden="1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idden="1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idden="1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idden="1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idden="1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idden="1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idden="1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idden="1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idden="1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idden="1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idden="1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idden="1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idden="1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idden="1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idden="1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idden="1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idden="1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idden="1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idden="1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idden="1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idden="1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idden="1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idden="1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idden="1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idden="1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idden="1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idden="1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idden="1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idden="1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idden="1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idden="1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idden="1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idden="1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idden="1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idden="1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idden="1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idden="1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idden="1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idden="1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idden="1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idden="1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idden="1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idden="1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idden="1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idden="1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idden="1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idden="1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idden="1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idden="1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idden="1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idden="1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idden="1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idden="1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idden="1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idden="1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idden="1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idden="1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idden="1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idden="1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idden="1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idden="1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idden="1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idden="1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idden="1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idden="1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idden="1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</sheetData>
  <phoneticPr fontId="8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923BD-5DA8-4510-929F-669B56F6246A}">
  <sheetPr>
    <tabColor theme="4" tint="0.59999389629810485"/>
  </sheetPr>
  <dimension ref="A1:DA181"/>
  <sheetViews>
    <sheetView workbookViewId="0">
      <selection activeCell="F13" sqref="F13"/>
    </sheetView>
  </sheetViews>
  <sheetFormatPr defaultColWidth="0" defaultRowHeight="14.6" zeroHeight="1" x14ac:dyDescent="0.4"/>
  <cols>
    <col min="1" max="1" width="9.15234375" customWidth="1"/>
    <col min="2" max="2" width="58" customWidth="1"/>
    <col min="3" max="9" width="15.53515625" bestFit="1" customWidth="1"/>
    <col min="10" max="10" width="16.4609375" bestFit="1" customWidth="1"/>
    <col min="11" max="11" width="12.23046875" bestFit="1" customWidth="1"/>
    <col min="12" max="12" width="9.15234375" customWidth="1"/>
    <col min="13" max="14" width="9.15234375" hidden="1" customWidth="1"/>
    <col min="15" max="105" width="0" hidden="1" customWidth="1"/>
    <col min="106" max="16384" width="9.15234375" hidden="1"/>
  </cols>
  <sheetData>
    <row r="1" spans="1:53" ht="39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3" x14ac:dyDescent="0.4">
      <c r="A2" s="1"/>
      <c r="B2" s="2"/>
      <c r="C2" s="2"/>
      <c r="D2" s="2"/>
      <c r="E2" s="2"/>
      <c r="F2" s="2"/>
      <c r="G2" s="2"/>
      <c r="H2" s="2"/>
      <c r="I2" s="2"/>
      <c r="J2" s="205" t="s">
        <v>129</v>
      </c>
      <c r="K2" s="206" t="s">
        <v>350</v>
      </c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15" x14ac:dyDescent="0.4">
      <c r="A3" s="1"/>
      <c r="B3" s="599" t="s">
        <v>181</v>
      </c>
      <c r="C3" s="127">
        <v>2024</v>
      </c>
      <c r="D3" s="127">
        <v>2025</v>
      </c>
      <c r="E3" s="127">
        <v>2026</v>
      </c>
      <c r="F3" s="127">
        <v>2026</v>
      </c>
      <c r="G3" s="127">
        <v>2027</v>
      </c>
      <c r="H3" s="127">
        <v>2028</v>
      </c>
      <c r="I3" s="127">
        <v>2029</v>
      </c>
      <c r="J3" s="598" t="s">
        <v>478</v>
      </c>
      <c r="K3" s="598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15" x14ac:dyDescent="0.4">
      <c r="A4" s="1"/>
      <c r="B4" s="599"/>
      <c r="C4" s="127" t="s">
        <v>77</v>
      </c>
      <c r="D4" s="127" t="s">
        <v>77</v>
      </c>
      <c r="E4" s="127" t="s">
        <v>78</v>
      </c>
      <c r="F4" s="127" t="s">
        <v>368</v>
      </c>
      <c r="G4" s="127" t="s">
        <v>79</v>
      </c>
      <c r="H4" s="127" t="s">
        <v>79</v>
      </c>
      <c r="I4" s="127" t="s">
        <v>79</v>
      </c>
      <c r="J4" s="127" t="s">
        <v>182</v>
      </c>
      <c r="K4" s="127" t="s">
        <v>13</v>
      </c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x14ac:dyDescent="0.4">
      <c r="A5" s="1"/>
      <c r="B5" s="103" t="s">
        <v>183</v>
      </c>
      <c r="C5" s="253" t="str">
        <f>IF(SUM(C6:C8)=0,"",SUM(C6:C8))</f>
        <v/>
      </c>
      <c r="D5" s="253" t="str">
        <f t="shared" ref="D5:I5" si="0">IF(SUM(D6:D8)=0,"",SUM(D6:D8))</f>
        <v/>
      </c>
      <c r="E5" s="253" t="str">
        <f t="shared" si="0"/>
        <v/>
      </c>
      <c r="F5" s="253" t="str">
        <f t="shared" si="0"/>
        <v/>
      </c>
      <c r="G5" s="253" t="str">
        <f t="shared" si="0"/>
        <v/>
      </c>
      <c r="H5" s="253" t="str">
        <f t="shared" si="0"/>
        <v/>
      </c>
      <c r="I5" s="253" t="str">
        <f t="shared" si="0"/>
        <v/>
      </c>
      <c r="J5" s="249" t="str">
        <f>IF(ISERROR(G5-F5),"",G5-F5)</f>
        <v/>
      </c>
      <c r="K5" s="257" t="str">
        <f>IFERROR(J5/ABS(F5),"")</f>
        <v/>
      </c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x14ac:dyDescent="0.4">
      <c r="A6" s="1"/>
      <c r="B6" s="494" t="s">
        <v>184</v>
      </c>
      <c r="C6" s="266">
        <f>-CMVMC_2024</f>
        <v>0</v>
      </c>
      <c r="D6" s="266">
        <f>-CMVMC_2025</f>
        <v>0</v>
      </c>
      <c r="E6" s="266">
        <f>-CMVMC_2026PAO</f>
        <v>0</v>
      </c>
      <c r="F6" s="266">
        <f>-CMVMC_2026E</f>
        <v>0</v>
      </c>
      <c r="G6" s="266">
        <f>-CMVMC_2027</f>
        <v>0</v>
      </c>
      <c r="H6" s="266">
        <f>-CMVMC_2028</f>
        <v>0</v>
      </c>
      <c r="I6" s="266">
        <f>-CMVMC_2029</f>
        <v>0</v>
      </c>
      <c r="J6" s="250">
        <f>IF(ISERROR(G6-F6),"",G6-F6)</f>
        <v>0</v>
      </c>
      <c r="K6" s="261" t="str">
        <f>IFERROR(J6/ABS(F6),"")</f>
        <v/>
      </c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x14ac:dyDescent="0.4">
      <c r="A7" s="1"/>
      <c r="B7" s="494" t="s">
        <v>31</v>
      </c>
      <c r="C7" s="266">
        <f>-FSE_2024</f>
        <v>0</v>
      </c>
      <c r="D7" s="266">
        <f>-FSE_2025</f>
        <v>0</v>
      </c>
      <c r="E7" s="266">
        <f>-FSE_2026PAO</f>
        <v>0</v>
      </c>
      <c r="F7" s="266">
        <f>-FSE_2026E</f>
        <v>0</v>
      </c>
      <c r="G7" s="266">
        <f>-FSE_2027</f>
        <v>0</v>
      </c>
      <c r="H7" s="266">
        <f>-FSE_2028</f>
        <v>0</v>
      </c>
      <c r="I7" s="266">
        <f>-FSE_2029</f>
        <v>0</v>
      </c>
      <c r="J7" s="250">
        <f t="shared" ref="J7:J8" si="1">IF(ISERROR(G7-F7),"",G7-F7)</f>
        <v>0</v>
      </c>
      <c r="K7" s="261" t="str">
        <f t="shared" ref="K7:K8" si="2">IFERROR(J7/ABS(F7),"")</f>
        <v/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x14ac:dyDescent="0.4">
      <c r="A8" s="1"/>
      <c r="B8" s="494" t="s">
        <v>30</v>
      </c>
      <c r="C8" s="266">
        <f>-GASTOS_PESSOAL_2024</f>
        <v>0</v>
      </c>
      <c r="D8" s="266">
        <f>-GASTOS_PESSOAL_2025</f>
        <v>0</v>
      </c>
      <c r="E8" s="266">
        <f>-GASTOS_PESSOAL_2026PAO</f>
        <v>0</v>
      </c>
      <c r="F8" s="266">
        <f>-GASTOS_PESSOAL_2026E</f>
        <v>0</v>
      </c>
      <c r="G8" s="266">
        <f>-GASTOS_PESSOAL_2027</f>
        <v>0</v>
      </c>
      <c r="H8" s="266">
        <f>-GASTOS_PESSOAL_2028</f>
        <v>0</v>
      </c>
      <c r="I8" s="266">
        <f>-GASTOS_PESSOAL_2029</f>
        <v>0</v>
      </c>
      <c r="J8" s="250">
        <f t="shared" si="1"/>
        <v>0</v>
      </c>
      <c r="K8" s="261" t="str">
        <f t="shared" si="2"/>
        <v/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x14ac:dyDescent="0.4">
      <c r="A9" s="1"/>
      <c r="B9" s="103" t="s">
        <v>479</v>
      </c>
      <c r="C9" s="248">
        <f>IF(COUNT(C10:C12)=0,0,SUM(C10:C12))</f>
        <v>0</v>
      </c>
      <c r="D9" s="248">
        <f t="shared" ref="D9:I9" si="3">IF(COUNT(D10:D12)=0,0,SUM(D10:D12))</f>
        <v>0</v>
      </c>
      <c r="E9" s="248">
        <f t="shared" si="3"/>
        <v>0</v>
      </c>
      <c r="F9" s="248">
        <f t="shared" si="3"/>
        <v>0</v>
      </c>
      <c r="G9" s="248">
        <f t="shared" si="3"/>
        <v>0</v>
      </c>
      <c r="H9" s="248">
        <f t="shared" si="3"/>
        <v>0</v>
      </c>
      <c r="I9" s="248">
        <f t="shared" si="3"/>
        <v>0</v>
      </c>
      <c r="J9" s="248">
        <f>IF(ISERROR(G9-F9),"",G9-F9)</f>
        <v>0</v>
      </c>
      <c r="K9" s="262" t="str">
        <f>IFERROR(J9/ABS(F9),"")</f>
        <v/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4">
      <c r="A10" s="1"/>
      <c r="B10" s="494" t="s">
        <v>185</v>
      </c>
      <c r="C10" s="251"/>
      <c r="D10" s="251"/>
      <c r="E10" s="251"/>
      <c r="F10" s="251"/>
      <c r="G10" s="251"/>
      <c r="H10" s="251"/>
      <c r="I10" s="251"/>
      <c r="J10" s="250">
        <f t="shared" ref="J10:J13" si="4">IF(ISERROR(G10-F10),"",G10-F10)</f>
        <v>0</v>
      </c>
      <c r="K10" s="261" t="str">
        <f t="shared" ref="K10:K13" si="5">IFERROR(J10/ABS(F10),"")</f>
        <v/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x14ac:dyDescent="0.4">
      <c r="A11" s="1"/>
      <c r="B11" s="494" t="s">
        <v>186</v>
      </c>
      <c r="C11" s="251"/>
      <c r="D11" s="251"/>
      <c r="E11" s="251"/>
      <c r="F11" s="251"/>
      <c r="G11" s="251"/>
      <c r="H11" s="251"/>
      <c r="I11" s="251"/>
      <c r="J11" s="250">
        <f t="shared" si="4"/>
        <v>0</v>
      </c>
      <c r="K11" s="261" t="str">
        <f t="shared" si="5"/>
        <v/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x14ac:dyDescent="0.4">
      <c r="A12" s="1"/>
      <c r="B12" s="494"/>
      <c r="C12" s="251"/>
      <c r="D12" s="251"/>
      <c r="E12" s="251"/>
      <c r="F12" s="251"/>
      <c r="G12" s="251"/>
      <c r="H12" s="251"/>
      <c r="I12" s="251"/>
      <c r="J12" s="250">
        <f t="shared" si="4"/>
        <v>0</v>
      </c>
      <c r="K12" s="261" t="str">
        <f t="shared" si="5"/>
        <v/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x14ac:dyDescent="0.4">
      <c r="A13" s="1"/>
      <c r="B13" s="103" t="s">
        <v>187</v>
      </c>
      <c r="C13" s="253" t="str">
        <f>IFERROR( C5-C9,"")</f>
        <v/>
      </c>
      <c r="D13" s="253" t="str">
        <f t="shared" ref="D13:I13" si="6">IFERROR( D5-D9,"")</f>
        <v/>
      </c>
      <c r="E13" s="253" t="str">
        <f t="shared" si="6"/>
        <v/>
      </c>
      <c r="F13" s="253" t="str">
        <f t="shared" si="6"/>
        <v/>
      </c>
      <c r="G13" s="253" t="str">
        <f t="shared" si="6"/>
        <v/>
      </c>
      <c r="H13" s="253" t="str">
        <f t="shared" si="6"/>
        <v/>
      </c>
      <c r="I13" s="253" t="str">
        <f t="shared" si="6"/>
        <v/>
      </c>
      <c r="J13" s="248" t="str">
        <f t="shared" si="4"/>
        <v/>
      </c>
      <c r="K13" s="262" t="str">
        <f t="shared" si="5"/>
        <v/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x14ac:dyDescent="0.4">
      <c r="A14" s="1"/>
      <c r="B14" s="122"/>
      <c r="C14" s="267"/>
      <c r="D14" s="267"/>
      <c r="E14" s="267"/>
      <c r="F14" s="267"/>
      <c r="G14" s="267"/>
      <c r="H14" s="267"/>
      <c r="I14" s="267"/>
      <c r="J14" s="268"/>
      <c r="K14" s="263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x14ac:dyDescent="0.4">
      <c r="A15" s="1"/>
      <c r="B15" s="103" t="s">
        <v>188</v>
      </c>
      <c r="C15" s="253" t="str">
        <f>IF(SUM(C16:C17)=0,"",SUM(C16:C17))</f>
        <v/>
      </c>
      <c r="D15" s="253" t="str">
        <f>IF(SUM(D16:D17)=0,"",SUM(D16:D17))</f>
        <v/>
      </c>
      <c r="E15" s="253" t="str">
        <f>IF(SUM(E16:E17)=0,"",SUM(E16:E17))</f>
        <v/>
      </c>
      <c r="F15" s="253" t="str">
        <f>IF(SUM(F16:F17)=0,"",SUM(F16:F17))</f>
        <v/>
      </c>
      <c r="G15" s="253" t="str">
        <f t="shared" ref="G15:I15" si="7">IF(SUM(G16:G17)=0,"",SUM(G16:G17))</f>
        <v/>
      </c>
      <c r="H15" s="253" t="str">
        <f t="shared" si="7"/>
        <v/>
      </c>
      <c r="I15" s="253" t="str">
        <f t="shared" si="7"/>
        <v/>
      </c>
      <c r="J15" s="248" t="str">
        <f>IF(ISERROR(G15-F15),"",G15-F15)</f>
        <v/>
      </c>
      <c r="K15" s="262" t="str">
        <f>IFERROR(J15/ABS(F15),"")</f>
        <v/>
      </c>
      <c r="L15" s="2"/>
      <c r="M15" s="204"/>
      <c r="N15" s="204"/>
      <c r="O15" s="204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x14ac:dyDescent="0.4">
      <c r="A16" s="1"/>
      <c r="B16" s="494" t="s">
        <v>189</v>
      </c>
      <c r="C16" s="266">
        <f>VENDAS_SP_2024</f>
        <v>0</v>
      </c>
      <c r="D16" s="266">
        <f>VENDAS_SP_2025</f>
        <v>0</v>
      </c>
      <c r="E16" s="266">
        <f>VENDAS_SP_2026PAO</f>
        <v>0</v>
      </c>
      <c r="F16" s="266">
        <f>VENDAS_SP_2026E</f>
        <v>0</v>
      </c>
      <c r="G16" s="266">
        <f>VENDAS_SP_2027</f>
        <v>0</v>
      </c>
      <c r="H16" s="266">
        <f>VENDAS_SP_2028</f>
        <v>0</v>
      </c>
      <c r="I16" s="266">
        <f>VENDAS_SP_2029</f>
        <v>0</v>
      </c>
      <c r="J16" s="250">
        <f t="shared" ref="J16:J22" si="8">IF(ISERROR(G16-F16),"",G16-F16)</f>
        <v>0</v>
      </c>
      <c r="K16" s="261" t="str">
        <f t="shared" ref="K16:K22" si="9">IFERROR(J16/ABS(F16),"")</f>
        <v/>
      </c>
      <c r="L16" s="2"/>
      <c r="M16" s="204"/>
      <c r="N16" s="204"/>
      <c r="O16" s="204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25.75" x14ac:dyDescent="0.4">
      <c r="A17" s="1"/>
      <c r="B17" s="495" t="s">
        <v>362</v>
      </c>
      <c r="C17" s="213"/>
      <c r="D17" s="213"/>
      <c r="E17" s="213"/>
      <c r="F17" s="213"/>
      <c r="G17" s="213"/>
      <c r="H17" s="213"/>
      <c r="I17" s="213"/>
      <c r="J17" s="250">
        <f t="shared" si="8"/>
        <v>0</v>
      </c>
      <c r="K17" s="261" t="str">
        <f t="shared" si="9"/>
        <v/>
      </c>
      <c r="L17" s="2"/>
      <c r="M17" s="204"/>
      <c r="N17" s="204"/>
      <c r="O17" s="204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x14ac:dyDescent="0.4">
      <c r="A18" s="1"/>
      <c r="B18" s="103" t="s">
        <v>480</v>
      </c>
      <c r="C18" s="211">
        <f>IF(COUNT(C19:C21)=0,0,SUM(C19:C21))</f>
        <v>0</v>
      </c>
      <c r="D18" s="211">
        <f t="shared" ref="D18:I18" si="10">IF(COUNT(D19:D21)=0,0,SUM(D19:D21))</f>
        <v>0</v>
      </c>
      <c r="E18" s="211">
        <f t="shared" si="10"/>
        <v>0</v>
      </c>
      <c r="F18" s="211">
        <f t="shared" si="10"/>
        <v>0</v>
      </c>
      <c r="G18" s="211">
        <f t="shared" si="10"/>
        <v>0</v>
      </c>
      <c r="H18" s="211">
        <f t="shared" si="10"/>
        <v>0</v>
      </c>
      <c r="I18" s="211">
        <f t="shared" si="10"/>
        <v>0</v>
      </c>
      <c r="J18" s="248">
        <f t="shared" si="8"/>
        <v>0</v>
      </c>
      <c r="K18" s="262" t="str">
        <f t="shared" si="9"/>
        <v/>
      </c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x14ac:dyDescent="0.4">
      <c r="A19" s="1"/>
      <c r="B19" s="494" t="s">
        <v>185</v>
      </c>
      <c r="C19" s="213"/>
      <c r="D19" s="213"/>
      <c r="E19" s="213"/>
      <c r="F19" s="213"/>
      <c r="G19" s="213"/>
      <c r="H19" s="213"/>
      <c r="I19" s="213"/>
      <c r="J19" s="250">
        <f t="shared" si="8"/>
        <v>0</v>
      </c>
      <c r="K19" s="261" t="str">
        <f t="shared" si="9"/>
        <v/>
      </c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x14ac:dyDescent="0.4">
      <c r="A20" s="1"/>
      <c r="B20" s="494" t="s">
        <v>186</v>
      </c>
      <c r="C20" s="213"/>
      <c r="D20" s="213"/>
      <c r="E20" s="213"/>
      <c r="F20" s="213"/>
      <c r="G20" s="213"/>
      <c r="H20" s="213"/>
      <c r="I20" s="213"/>
      <c r="J20" s="250">
        <f t="shared" si="8"/>
        <v>0</v>
      </c>
      <c r="K20" s="261" t="str">
        <f t="shared" si="9"/>
        <v/>
      </c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x14ac:dyDescent="0.4">
      <c r="A21" s="1"/>
      <c r="B21" s="494"/>
      <c r="C21" s="213"/>
      <c r="D21" s="213"/>
      <c r="E21" s="213"/>
      <c r="F21" s="213"/>
      <c r="G21" s="213"/>
      <c r="H21" s="213"/>
      <c r="I21" s="213"/>
      <c r="J21" s="250">
        <f t="shared" si="8"/>
        <v>0</v>
      </c>
      <c r="K21" s="261" t="str">
        <f t="shared" si="9"/>
        <v/>
      </c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x14ac:dyDescent="0.4">
      <c r="A22" s="1"/>
      <c r="B22" s="103" t="s">
        <v>190</v>
      </c>
      <c r="C22" s="253" t="str">
        <f t="shared" ref="C22:I22" si="11">IFERROR( C15+C18,"")</f>
        <v/>
      </c>
      <c r="D22" s="253" t="str">
        <f t="shared" si="11"/>
        <v/>
      </c>
      <c r="E22" s="253" t="str">
        <f t="shared" si="11"/>
        <v/>
      </c>
      <c r="F22" s="253" t="str">
        <f t="shared" si="11"/>
        <v/>
      </c>
      <c r="G22" s="253" t="str">
        <f t="shared" si="11"/>
        <v/>
      </c>
      <c r="H22" s="253" t="str">
        <f t="shared" si="11"/>
        <v/>
      </c>
      <c r="I22" s="253" t="str">
        <f t="shared" si="11"/>
        <v/>
      </c>
      <c r="J22" s="248" t="str">
        <f t="shared" si="8"/>
        <v/>
      </c>
      <c r="K22" s="262" t="str">
        <f t="shared" si="9"/>
        <v/>
      </c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x14ac:dyDescent="0.4">
      <c r="A23" s="1"/>
      <c r="B23" s="122"/>
      <c r="C23" s="163"/>
      <c r="D23" s="163"/>
      <c r="E23" s="163"/>
      <c r="F23" s="163"/>
      <c r="G23" s="163"/>
      <c r="H23" s="163"/>
      <c r="I23" s="163"/>
      <c r="J23" s="163"/>
      <c r="K23" s="163"/>
      <c r="L23" s="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x14ac:dyDescent="0.4">
      <c r="A24" s="1"/>
      <c r="B24" s="194" t="s">
        <v>191</v>
      </c>
      <c r="C24" s="195" t="str">
        <f>IFERROR(C13/C22,"")</f>
        <v/>
      </c>
      <c r="D24" s="195" t="str">
        <f t="shared" ref="D24:I24" si="12">IFERROR(D13/D22,"")</f>
        <v/>
      </c>
      <c r="E24" s="195" t="str">
        <f t="shared" si="12"/>
        <v/>
      </c>
      <c r="F24" s="195" t="str">
        <f t="shared" si="12"/>
        <v/>
      </c>
      <c r="G24" s="195" t="str">
        <f t="shared" si="12"/>
        <v/>
      </c>
      <c r="H24" s="195" t="str">
        <f t="shared" si="12"/>
        <v/>
      </c>
      <c r="I24" s="195" t="str">
        <f t="shared" si="12"/>
        <v/>
      </c>
      <c r="J24" s="620" t="str">
        <f>IF(AND(F24="",G24=""),"",IF(ISERROR(G24-F24),"",ROUND((G24-F24)*100,1)&amp;"p.p."))</f>
        <v/>
      </c>
      <c r="K24" s="621"/>
      <c r="L24" s="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x14ac:dyDescent="0.4">
      <c r="A25" s="1"/>
      <c r="B25" s="445"/>
      <c r="C25" s="446"/>
      <c r="D25" s="446"/>
      <c r="E25" s="446"/>
      <c r="F25" s="446"/>
      <c r="G25" s="446"/>
      <c r="H25" s="446"/>
      <c r="I25" s="446"/>
      <c r="J25" s="623"/>
      <c r="K25" s="624"/>
      <c r="L25" s="2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x14ac:dyDescent="0.4">
      <c r="A26" s="1"/>
      <c r="B26" s="194" t="s">
        <v>454</v>
      </c>
      <c r="C26" s="195" t="str">
        <f>IFERROR(C8/C16,"")</f>
        <v/>
      </c>
      <c r="D26" s="195" t="str">
        <f t="shared" ref="D26:I26" si="13">IFERROR(D8/D16,"")</f>
        <v/>
      </c>
      <c r="E26" s="195" t="str">
        <f t="shared" si="13"/>
        <v/>
      </c>
      <c r="F26" s="195" t="str">
        <f t="shared" si="13"/>
        <v/>
      </c>
      <c r="G26" s="195" t="str">
        <f t="shared" si="13"/>
        <v/>
      </c>
      <c r="H26" s="195" t="str">
        <f t="shared" si="13"/>
        <v/>
      </c>
      <c r="I26" s="195" t="str">
        <f t="shared" si="13"/>
        <v/>
      </c>
      <c r="J26" s="620" t="str">
        <f t="shared" ref="J26" si="14">IF(AND(F26="",G26=""),"",IF(ISERROR(G26-F26),"",ROUND((G26-F26)*100,1)&amp;"p.p."))</f>
        <v/>
      </c>
      <c r="K26" s="621"/>
      <c r="L26" s="2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x14ac:dyDescent="0.4">
      <c r="A27" s="1"/>
      <c r="B27" s="445"/>
      <c r="C27" s="446"/>
      <c r="D27" s="446"/>
      <c r="E27" s="446"/>
      <c r="F27" s="446"/>
      <c r="G27" s="446"/>
      <c r="H27" s="446"/>
      <c r="I27" s="446"/>
      <c r="J27" s="447"/>
      <c r="K27" s="448"/>
      <c r="L27" s="2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.5" customHeight="1" x14ac:dyDescent="0.4">
      <c r="A28" s="1"/>
      <c r="B28" s="96"/>
      <c r="C28" s="170"/>
      <c r="D28" s="170"/>
      <c r="E28" s="170"/>
      <c r="F28" s="170"/>
      <c r="G28" s="170"/>
      <c r="H28" s="170"/>
      <c r="I28" s="170"/>
      <c r="J28" s="170"/>
      <c r="K28" s="170"/>
      <c r="L28" s="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x14ac:dyDescent="0.4">
      <c r="A29" s="1"/>
      <c r="B29" s="125" t="s">
        <v>49</v>
      </c>
      <c r="C29" s="269" t="str">
        <f>IFERROR(C22-C13,"")</f>
        <v/>
      </c>
      <c r="D29" s="269" t="str">
        <f t="shared" ref="D29:I29" si="15">IFERROR(D22-D13,"")</f>
        <v/>
      </c>
      <c r="E29" s="269" t="str">
        <f t="shared" si="15"/>
        <v/>
      </c>
      <c r="F29" s="269" t="str">
        <f t="shared" si="15"/>
        <v/>
      </c>
      <c r="G29" s="269" t="str">
        <f t="shared" si="15"/>
        <v/>
      </c>
      <c r="H29" s="269" t="str">
        <f t="shared" si="15"/>
        <v/>
      </c>
      <c r="I29" s="269" t="str">
        <f t="shared" si="15"/>
        <v/>
      </c>
      <c r="J29" s="269" t="str">
        <f>IF(ISERROR(G29-F29),"",G29-F29)</f>
        <v/>
      </c>
      <c r="K29" s="265" t="str">
        <f>IFERROR(J29/ABS(F29),"")</f>
        <v/>
      </c>
      <c r="L29" s="2"/>
      <c r="M29" s="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x14ac:dyDescent="0.4">
      <c r="A30" s="1"/>
      <c r="B30" s="137" t="s">
        <v>375</v>
      </c>
      <c r="C30" s="264" t="str">
        <f>IFERROR(C29/VN_2024,"")</f>
        <v/>
      </c>
      <c r="D30" s="264" t="str">
        <f>IFERROR(D29/VN_2025,"")</f>
        <v/>
      </c>
      <c r="E30" s="264" t="str">
        <f>IFERROR(E29/VN_2026PAO,"")</f>
        <v/>
      </c>
      <c r="F30" s="264" t="str">
        <f>IFERROR(F29/VN_2026E,"")</f>
        <v/>
      </c>
      <c r="G30" s="264" t="str">
        <f>IFERROR(G29/VN_2027,"")</f>
        <v/>
      </c>
      <c r="H30" s="264" t="str">
        <f>IFERROR(H29/VN_2028,"")</f>
        <v/>
      </c>
      <c r="I30" s="264" t="str">
        <f>IFERROR(I29/VN_2029,"")</f>
        <v/>
      </c>
      <c r="J30" s="454"/>
      <c r="K30" s="472"/>
      <c r="L30" s="2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7.25" customHeight="1" x14ac:dyDescent="0.4">
      <c r="A32" s="1"/>
      <c r="B32" s="125" t="s">
        <v>26</v>
      </c>
      <c r="C32" s="269">
        <f>EBITDA_2024</f>
        <v>0</v>
      </c>
      <c r="D32" s="269">
        <f>EBITDA_2025</f>
        <v>0</v>
      </c>
      <c r="E32" s="269">
        <f>EBITDA_2026PAO</f>
        <v>0</v>
      </c>
      <c r="F32" s="269">
        <f>EBITDA_2026E</f>
        <v>0</v>
      </c>
      <c r="G32" s="269">
        <f>EBITDA_2027</f>
        <v>0</v>
      </c>
      <c r="H32" s="269">
        <f>EBITDA_2028</f>
        <v>0</v>
      </c>
      <c r="I32" s="269">
        <f>EBITDA_2029</f>
        <v>0</v>
      </c>
      <c r="J32" s="269">
        <f>IF(ISERROR(G32-F32),"",G32-F32)</f>
        <v>0</v>
      </c>
      <c r="K32" s="265" t="str">
        <f>IFERROR((G32-F32)/F32,"")</f>
        <v/>
      </c>
      <c r="L32" s="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x14ac:dyDescent="0.4">
      <c r="A33" s="1"/>
      <c r="B33" s="137" t="s">
        <v>376</v>
      </c>
      <c r="C33" s="264" t="str">
        <f>IFERROR(C32/VN_2024,"")</f>
        <v/>
      </c>
      <c r="D33" s="264" t="str">
        <f>IFERROR(D32/VN_2025,"")</f>
        <v/>
      </c>
      <c r="E33" s="264" t="str">
        <f>IFERROR(E32/VN_2026PAO,"")</f>
        <v/>
      </c>
      <c r="F33" s="264" t="str">
        <f>IFERROR(F32/VN_2026E,"")</f>
        <v/>
      </c>
      <c r="G33" s="264" t="str">
        <f>IFERROR(G32/VN_2027,"")</f>
        <v/>
      </c>
      <c r="H33" s="264" t="str">
        <f>IFERROR(H32/VN_2028,"")</f>
        <v/>
      </c>
      <c r="I33" s="264" t="str">
        <f>IFERROR(I32/VN_2029,"")</f>
        <v/>
      </c>
      <c r="J33" s="455"/>
      <c r="K33" s="456"/>
      <c r="L33" s="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x14ac:dyDescent="0.4">
      <c r="A35" s="1"/>
      <c r="B35" s="125" t="s">
        <v>27</v>
      </c>
      <c r="C35" s="269">
        <f>EBIT_2024</f>
        <v>0</v>
      </c>
      <c r="D35" s="269">
        <f>EBIT_2025</f>
        <v>0</v>
      </c>
      <c r="E35" s="269">
        <f>EBIT_2026PAO</f>
        <v>0</v>
      </c>
      <c r="F35" s="269">
        <f>EBIT_2026E</f>
        <v>0</v>
      </c>
      <c r="G35" s="269">
        <f>EBIT_2027</f>
        <v>0</v>
      </c>
      <c r="H35" s="269">
        <f>EBIT_2028</f>
        <v>0</v>
      </c>
      <c r="I35" s="269">
        <f>EBIT_2029</f>
        <v>0</v>
      </c>
      <c r="J35" s="269">
        <f>IF(ISERROR(G35-F35),"",G35-F35)</f>
        <v>0</v>
      </c>
      <c r="K35" s="265" t="str">
        <f>IFERROR((G35-F35)/F35,"")</f>
        <v/>
      </c>
      <c r="L35" s="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x14ac:dyDescent="0.4">
      <c r="A36" s="1"/>
      <c r="B36" s="137" t="s">
        <v>377</v>
      </c>
      <c r="C36" s="264" t="str">
        <f>IFERROR(C35/VN_2024,"")</f>
        <v/>
      </c>
      <c r="D36" s="264" t="str">
        <f>IFERROR(D35/VN_2025,"")</f>
        <v/>
      </c>
      <c r="E36" s="264" t="str">
        <f>IFERROR(E35/VN_2026PAO,"")</f>
        <v/>
      </c>
      <c r="F36" s="264" t="str">
        <f>IFERROR(F35/VN_2026E,"")</f>
        <v/>
      </c>
      <c r="G36" s="264" t="str">
        <f>IFERROR(G35/VN_2027,"")</f>
        <v/>
      </c>
      <c r="H36" s="264" t="str">
        <f>IFERROR(H35/VN_2028,"")</f>
        <v/>
      </c>
      <c r="I36" s="264" t="str">
        <f>IFERROR(I35/VN_2029,"")</f>
        <v/>
      </c>
      <c r="J36" s="455"/>
      <c r="K36" s="456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x14ac:dyDescent="0.4">
      <c r="A38" s="1"/>
      <c r="B38" s="2" t="s">
        <v>317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x14ac:dyDescent="0.4">
      <c r="A39" s="1"/>
      <c r="B39" s="622" t="s">
        <v>246</v>
      </c>
      <c r="C39" s="622"/>
      <c r="D39" s="622"/>
      <c r="E39" s="622"/>
      <c r="F39" s="622"/>
      <c r="G39" s="622"/>
      <c r="H39" s="622"/>
      <c r="I39" s="622"/>
      <c r="J39" s="622"/>
      <c r="K39" s="622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x14ac:dyDescent="0.4">
      <c r="A40" s="1"/>
      <c r="B40" s="2" t="s">
        <v>500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x14ac:dyDescent="0.4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20.25" customHeight="1" x14ac:dyDescent="0.4">
      <c r="A42" s="1"/>
      <c r="B42" s="619" t="s">
        <v>481</v>
      </c>
      <c r="C42" s="619"/>
      <c r="D42" s="619"/>
      <c r="E42" s="619"/>
      <c r="F42" s="619"/>
      <c r="G42" s="619"/>
      <c r="H42" s="619"/>
      <c r="I42" s="619"/>
      <c r="J42" s="619"/>
      <c r="K42" s="619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8.45" customHeight="1" x14ac:dyDescent="0.4">
      <c r="A43" s="1"/>
      <c r="B43" s="619"/>
      <c r="C43" s="619"/>
      <c r="D43" s="619"/>
      <c r="E43" s="619"/>
      <c r="F43" s="619"/>
      <c r="G43" s="619"/>
      <c r="H43" s="619"/>
      <c r="I43" s="619"/>
      <c r="J43" s="619"/>
      <c r="K43" s="619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5" customHeight="1" x14ac:dyDescent="0.4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5" x14ac:dyDescent="0.4">
      <c r="A45" s="1"/>
      <c r="B45" s="599" t="s">
        <v>326</v>
      </c>
      <c r="C45" s="127">
        <v>2024</v>
      </c>
      <c r="D45" s="127">
        <v>2025</v>
      </c>
      <c r="E45" s="127">
        <v>2026</v>
      </c>
      <c r="F45" s="127">
        <v>2026</v>
      </c>
      <c r="G45" s="127">
        <v>2027</v>
      </c>
      <c r="H45" s="127">
        <v>2028</v>
      </c>
      <c r="I45" s="127">
        <v>2029</v>
      </c>
      <c r="J45" s="598" t="s">
        <v>478</v>
      </c>
      <c r="K45" s="598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5" x14ac:dyDescent="0.4">
      <c r="A46" s="1"/>
      <c r="B46" s="599"/>
      <c r="C46" s="127" t="s">
        <v>77</v>
      </c>
      <c r="D46" s="127" t="s">
        <v>77</v>
      </c>
      <c r="E46" s="127" t="s">
        <v>78</v>
      </c>
      <c r="F46" s="127" t="s">
        <v>368</v>
      </c>
      <c r="G46" s="127" t="s">
        <v>79</v>
      </c>
      <c r="H46" s="127" t="s">
        <v>79</v>
      </c>
      <c r="I46" s="127" t="s">
        <v>79</v>
      </c>
      <c r="J46" s="127" t="s">
        <v>182</v>
      </c>
      <c r="K46" s="127" t="s">
        <v>13</v>
      </c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x14ac:dyDescent="0.4">
      <c r="A47" s="1"/>
      <c r="B47" s="103" t="s">
        <v>183</v>
      </c>
      <c r="C47" s="253">
        <f>IFERROR(C48+C49+C50,"")</f>
        <v>0</v>
      </c>
      <c r="D47" s="253">
        <f t="shared" ref="D47:I47" si="16">IFERROR(D48+D49+D50,"")</f>
        <v>0</v>
      </c>
      <c r="E47" s="253">
        <f t="shared" si="16"/>
        <v>0</v>
      </c>
      <c r="F47" s="253">
        <f t="shared" si="16"/>
        <v>0</v>
      </c>
      <c r="G47" s="253">
        <f t="shared" si="16"/>
        <v>0</v>
      </c>
      <c r="H47" s="253">
        <f t="shared" si="16"/>
        <v>0</v>
      </c>
      <c r="I47" s="253">
        <f t="shared" si="16"/>
        <v>0</v>
      </c>
      <c r="J47" s="249">
        <f>IF(ISERROR(G47-F47),"",G47-F47)</f>
        <v>0</v>
      </c>
      <c r="K47" s="257" t="str">
        <f>IFERROR(J47/ABS(F47),"")</f>
        <v/>
      </c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x14ac:dyDescent="0.4">
      <c r="A48" s="1"/>
      <c r="B48" s="494" t="s">
        <v>184</v>
      </c>
      <c r="C48" s="254"/>
      <c r="D48" s="254"/>
      <c r="E48" s="254"/>
      <c r="F48" s="254"/>
      <c r="G48" s="254"/>
      <c r="H48" s="254"/>
      <c r="I48" s="254"/>
      <c r="J48" s="252">
        <f t="shared" ref="J48:J58" si="17">IF(ISERROR(G48-F48),"",G48-F48)</f>
        <v>0</v>
      </c>
      <c r="K48" s="258" t="str">
        <f t="shared" ref="K48:K58" si="18">IFERROR(J48/ABS(F48),"")</f>
        <v/>
      </c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105" x14ac:dyDescent="0.4">
      <c r="A49" s="1"/>
      <c r="B49" s="494" t="s">
        <v>31</v>
      </c>
      <c r="C49" s="254"/>
      <c r="D49" s="254"/>
      <c r="E49" s="254"/>
      <c r="F49" s="254"/>
      <c r="G49" s="254"/>
      <c r="H49" s="254"/>
      <c r="I49" s="254"/>
      <c r="J49" s="252">
        <f t="shared" si="17"/>
        <v>0</v>
      </c>
      <c r="K49" s="258" t="str">
        <f t="shared" si="18"/>
        <v/>
      </c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</row>
    <row r="50" spans="1:105" x14ac:dyDescent="0.4">
      <c r="A50" s="1"/>
      <c r="B50" s="494" t="s">
        <v>30</v>
      </c>
      <c r="C50" s="254"/>
      <c r="D50" s="254"/>
      <c r="E50" s="254"/>
      <c r="F50" s="254"/>
      <c r="G50" s="254"/>
      <c r="H50" s="254"/>
      <c r="I50" s="254"/>
      <c r="J50" s="252">
        <f t="shared" si="17"/>
        <v>0</v>
      </c>
      <c r="K50" s="258" t="str">
        <f t="shared" si="18"/>
        <v/>
      </c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</row>
    <row r="51" spans="1:105" x14ac:dyDescent="0.4">
      <c r="A51" s="1"/>
      <c r="B51" s="103" t="s">
        <v>363</v>
      </c>
      <c r="C51" s="253">
        <f>IFERROR(C52+C53+C54,"")</f>
        <v>0</v>
      </c>
      <c r="D51" s="253">
        <f t="shared" ref="D51:I51" si="19">IFERROR(D52+D53+D54,"")</f>
        <v>0</v>
      </c>
      <c r="E51" s="253">
        <f t="shared" si="19"/>
        <v>0</v>
      </c>
      <c r="F51" s="253">
        <f t="shared" si="19"/>
        <v>0</v>
      </c>
      <c r="G51" s="253">
        <f t="shared" si="19"/>
        <v>0</v>
      </c>
      <c r="H51" s="253">
        <f t="shared" si="19"/>
        <v>0</v>
      </c>
      <c r="I51" s="253">
        <f t="shared" si="19"/>
        <v>0</v>
      </c>
      <c r="J51" s="249">
        <f t="shared" si="17"/>
        <v>0</v>
      </c>
      <c r="K51" s="257" t="str">
        <f t="shared" si="18"/>
        <v/>
      </c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</row>
    <row r="52" spans="1:105" x14ac:dyDescent="0.4">
      <c r="A52" s="1"/>
      <c r="B52" s="494" t="s">
        <v>185</v>
      </c>
      <c r="C52" s="254"/>
      <c r="D52" s="254"/>
      <c r="E52" s="254"/>
      <c r="F52" s="254"/>
      <c r="G52" s="254"/>
      <c r="H52" s="254"/>
      <c r="I52" s="254"/>
      <c r="J52" s="252">
        <f t="shared" si="17"/>
        <v>0</v>
      </c>
      <c r="K52" s="258" t="str">
        <f t="shared" si="18"/>
        <v/>
      </c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</row>
    <row r="53" spans="1:105" x14ac:dyDescent="0.4">
      <c r="A53" s="1"/>
      <c r="B53" s="494" t="s">
        <v>186</v>
      </c>
      <c r="C53" s="254"/>
      <c r="D53" s="254"/>
      <c r="E53" s="254"/>
      <c r="F53" s="254"/>
      <c r="G53" s="254"/>
      <c r="H53" s="254"/>
      <c r="I53" s="254"/>
      <c r="J53" s="252">
        <f t="shared" si="17"/>
        <v>0</v>
      </c>
      <c r="K53" s="258" t="str">
        <f t="shared" si="18"/>
        <v/>
      </c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</row>
    <row r="54" spans="1:105" x14ac:dyDescent="0.4">
      <c r="A54" s="1"/>
      <c r="B54" s="494"/>
      <c r="C54" s="254"/>
      <c r="D54" s="254"/>
      <c r="E54" s="254"/>
      <c r="F54" s="254"/>
      <c r="G54" s="254"/>
      <c r="H54" s="254"/>
      <c r="I54" s="254"/>
      <c r="J54" s="252">
        <f t="shared" si="17"/>
        <v>0</v>
      </c>
      <c r="K54" s="258" t="str">
        <f t="shared" si="18"/>
        <v/>
      </c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</row>
    <row r="55" spans="1:105" x14ac:dyDescent="0.4">
      <c r="A55" s="1"/>
      <c r="B55" s="103" t="s">
        <v>187</v>
      </c>
      <c r="C55" s="253">
        <f>C47-C51</f>
        <v>0</v>
      </c>
      <c r="D55" s="253">
        <f t="shared" ref="D55:H55" si="20">D47-D51</f>
        <v>0</v>
      </c>
      <c r="E55" s="253">
        <f t="shared" si="20"/>
        <v>0</v>
      </c>
      <c r="F55" s="253">
        <f t="shared" si="20"/>
        <v>0</v>
      </c>
      <c r="G55" s="253">
        <f t="shared" si="20"/>
        <v>0</v>
      </c>
      <c r="H55" s="253">
        <f t="shared" si="20"/>
        <v>0</v>
      </c>
      <c r="I55" s="253">
        <f>I47-I51</f>
        <v>0</v>
      </c>
      <c r="J55" s="249">
        <f t="shared" si="17"/>
        <v>0</v>
      </c>
      <c r="K55" s="257" t="str">
        <f t="shared" si="18"/>
        <v/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</row>
    <row r="56" spans="1:105" x14ac:dyDescent="0.4">
      <c r="A56" s="1"/>
      <c r="B56" s="494" t="s">
        <v>327</v>
      </c>
      <c r="C56" s="254"/>
      <c r="D56" s="254"/>
      <c r="E56" s="254"/>
      <c r="F56" s="254"/>
      <c r="G56" s="254"/>
      <c r="H56" s="254"/>
      <c r="I56" s="254"/>
      <c r="J56" s="252">
        <f t="shared" si="17"/>
        <v>0</v>
      </c>
      <c r="K56" s="258" t="str">
        <f t="shared" si="18"/>
        <v/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</row>
    <row r="57" spans="1:105" x14ac:dyDescent="0.4">
      <c r="A57" s="1"/>
      <c r="B57" s="494" t="s">
        <v>328</v>
      </c>
      <c r="C57" s="254"/>
      <c r="D57" s="254"/>
      <c r="E57" s="254"/>
      <c r="F57" s="254"/>
      <c r="G57" s="254"/>
      <c r="H57" s="254"/>
      <c r="I57" s="254"/>
      <c r="J57" s="252">
        <f t="shared" si="17"/>
        <v>0</v>
      </c>
      <c r="K57" s="258" t="str">
        <f t="shared" si="18"/>
        <v/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</row>
    <row r="58" spans="1:105" ht="16.5" customHeight="1" x14ac:dyDescent="0.4">
      <c r="A58" s="1"/>
      <c r="B58" s="103" t="s">
        <v>329</v>
      </c>
      <c r="C58" s="253">
        <f>IFERROR(PRODUCT(C56:C57),"")</f>
        <v>0</v>
      </c>
      <c r="D58" s="253">
        <f t="shared" ref="D58:I58" si="21">IFERROR(PRODUCT(D56:D57),"")</f>
        <v>0</v>
      </c>
      <c r="E58" s="253">
        <f t="shared" si="21"/>
        <v>0</v>
      </c>
      <c r="F58" s="253">
        <f t="shared" si="21"/>
        <v>0</v>
      </c>
      <c r="G58" s="253">
        <f t="shared" si="21"/>
        <v>0</v>
      </c>
      <c r="H58" s="253">
        <f t="shared" si="21"/>
        <v>0</v>
      </c>
      <c r="I58" s="253">
        <f t="shared" si="21"/>
        <v>0</v>
      </c>
      <c r="J58" s="249">
        <f t="shared" si="17"/>
        <v>0</v>
      </c>
      <c r="K58" s="257" t="str">
        <f t="shared" si="18"/>
        <v/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</row>
    <row r="59" spans="1:105" x14ac:dyDescent="0.4">
      <c r="A59" s="1"/>
      <c r="B59" s="1"/>
      <c r="C59" s="1"/>
      <c r="D59" s="1"/>
      <c r="E59" s="1"/>
      <c r="F59" s="1"/>
      <c r="G59" s="1"/>
      <c r="H59" s="1"/>
      <c r="I59" s="1"/>
      <c r="J59" s="255"/>
      <c r="K59" s="259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</row>
    <row r="60" spans="1:105" x14ac:dyDescent="0.4">
      <c r="A60" s="1"/>
      <c r="B60" s="194" t="s">
        <v>330</v>
      </c>
      <c r="C60" s="474" t="str">
        <f>IFERROR(C55/C58,"")</f>
        <v/>
      </c>
      <c r="D60" s="474" t="str">
        <f t="shared" ref="D60:I60" si="22">IFERROR(D55/D58,"")</f>
        <v/>
      </c>
      <c r="E60" s="474" t="str">
        <f t="shared" si="22"/>
        <v/>
      </c>
      <c r="F60" s="474" t="str">
        <f t="shared" si="22"/>
        <v/>
      </c>
      <c r="G60" s="474" t="str">
        <f t="shared" si="22"/>
        <v/>
      </c>
      <c r="H60" s="474" t="str">
        <f t="shared" si="22"/>
        <v/>
      </c>
      <c r="I60" s="474" t="str">
        <f t="shared" si="22"/>
        <v/>
      </c>
      <c r="J60" s="256" t="str">
        <f>IF(ISERROR(G60-F60),"",G60-F60)</f>
        <v/>
      </c>
      <c r="K60" s="260" t="str">
        <f>IFERROR(J60/ABS(F60),"")</f>
        <v/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</row>
    <row r="61" spans="1:105" x14ac:dyDescent="0.4">
      <c r="A61" s="1"/>
      <c r="B61" s="618" t="s">
        <v>386</v>
      </c>
      <c r="C61" s="618"/>
      <c r="D61" s="618"/>
      <c r="E61" s="618"/>
      <c r="F61" s="618"/>
      <c r="G61" s="618"/>
      <c r="H61" s="618"/>
      <c r="I61" s="618"/>
      <c r="J61" s="618"/>
      <c r="K61" s="61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</row>
    <row r="62" spans="1:105" x14ac:dyDescent="0.4">
      <c r="A62" s="1"/>
      <c r="B62" s="618"/>
      <c r="C62" s="618"/>
      <c r="D62" s="618"/>
      <c r="E62" s="618"/>
      <c r="F62" s="618"/>
      <c r="G62" s="618"/>
      <c r="H62" s="618"/>
      <c r="I62" s="618"/>
      <c r="J62" s="618"/>
      <c r="K62" s="61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</row>
    <row r="63" spans="1:10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</row>
    <row r="64" spans="1:10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</row>
    <row r="65" spans="1:105" hidden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</row>
    <row r="66" spans="1:105" hidden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</row>
    <row r="67" spans="1:105" hidden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</row>
    <row r="68" spans="1:105" hidden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</row>
    <row r="69" spans="1:105" hidden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</row>
    <row r="70" spans="1:105" hidden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</row>
    <row r="71" spans="1:105" hidden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</row>
    <row r="72" spans="1:105" hidden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</row>
    <row r="73" spans="1:105" hidden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</row>
    <row r="74" spans="1:105" hidden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</row>
    <row r="75" spans="1:105" hidden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</row>
    <row r="76" spans="1:105" hidden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</row>
    <row r="77" spans="1:105" hidden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</row>
    <row r="78" spans="1:105" hidden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</row>
    <row r="79" spans="1:105" hidden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</row>
    <row r="80" spans="1:105" hidden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</row>
    <row r="81" spans="1:105" hidden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</row>
    <row r="82" spans="1:105" hidden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</row>
    <row r="83" spans="1:105" hidden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</row>
    <row r="84" spans="1:105" hidden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</row>
    <row r="85" spans="1:105" hidden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</row>
    <row r="86" spans="1:105" hidden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</row>
    <row r="87" spans="1:105" hidden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</row>
    <row r="88" spans="1:105" hidden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</row>
    <row r="89" spans="1:105" hidden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</row>
    <row r="90" spans="1:105" hidden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</row>
    <row r="91" spans="1:105" hidden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</row>
    <row r="92" spans="1:105" hidden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</row>
    <row r="93" spans="1:105" hidden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</row>
    <row r="94" spans="1:105" hidden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</row>
    <row r="95" spans="1:105" hidden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</row>
    <row r="96" spans="1:105" hidden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</row>
    <row r="97" spans="1:105" hidden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</row>
    <row r="98" spans="1:105" hidden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</row>
    <row r="99" spans="1:105" hidden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</row>
    <row r="100" spans="1:105" hidden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</row>
    <row r="101" spans="1:105" hidden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</row>
    <row r="102" spans="1:105" hidden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</row>
    <row r="103" spans="1:105" hidden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</row>
    <row r="104" spans="1:105" hidden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</row>
    <row r="105" spans="1:105" hidden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</row>
    <row r="106" spans="1:105" hidden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</row>
    <row r="107" spans="1:105" hidden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</row>
    <row r="108" spans="1:105" hidden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</row>
    <row r="109" spans="1:105" hidden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</row>
    <row r="110" spans="1:105" hidden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</row>
    <row r="111" spans="1:105" hidden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</row>
    <row r="112" spans="1:105" hidden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</row>
    <row r="113" spans="1:105" hidden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</row>
    <row r="114" spans="1:105" hidden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</row>
    <row r="115" spans="1:105" hidden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</row>
    <row r="116" spans="1:105" hidden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</row>
    <row r="117" spans="1:105" hidden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</row>
    <row r="118" spans="1:105" hidden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</row>
    <row r="119" spans="1:105" hidden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</row>
    <row r="120" spans="1:105" hidden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</row>
    <row r="121" spans="1:105" hidden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</row>
    <row r="122" spans="1:105" hidden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</row>
    <row r="123" spans="1:105" hidden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</row>
    <row r="124" spans="1:105" hidden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</row>
    <row r="125" spans="1:105" hidden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</row>
    <row r="126" spans="1:105" hidden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</row>
    <row r="127" spans="1:105" hidden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</row>
    <row r="128" spans="1:105" hidden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</row>
    <row r="129" spans="1:105" hidden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</row>
    <row r="130" spans="1:105" hidden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</row>
    <row r="131" spans="1:105" hidden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</row>
    <row r="132" spans="1:105" hidden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</row>
    <row r="133" spans="1:105" hidden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</row>
    <row r="134" spans="1:105" hidden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</row>
    <row r="135" spans="1:105" hidden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</row>
    <row r="136" spans="1:105" hidden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</row>
    <row r="137" spans="1:105" hidden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</row>
    <row r="138" spans="1:105" hidden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</row>
    <row r="139" spans="1:105" hidden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</row>
    <row r="140" spans="1:105" hidden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</row>
    <row r="141" spans="1:105" hidden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</row>
    <row r="142" spans="1:105" hidden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</row>
    <row r="143" spans="1:105" hidden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</row>
    <row r="144" spans="1:105" hidden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</row>
    <row r="145" spans="1:105" hidden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</row>
    <row r="146" spans="1:105" hidden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</row>
    <row r="147" spans="1:105" hidden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</row>
    <row r="148" spans="1:105" hidden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</row>
    <row r="149" spans="1:105" hidden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</row>
    <row r="150" spans="1:105" hidden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</row>
    <row r="151" spans="1:105" hidden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</row>
    <row r="152" spans="1:105" hidden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</row>
    <row r="153" spans="1:105" hidden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</row>
    <row r="154" spans="1:105" hidden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</row>
    <row r="155" spans="1:105" hidden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</row>
    <row r="156" spans="1:105" hidden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</row>
    <row r="157" spans="1:105" hidden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</row>
    <row r="158" spans="1:105" hidden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</row>
    <row r="159" spans="1:105" hidden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</row>
    <row r="160" spans="1:105" hidden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</row>
    <row r="161" spans="1:105" hidden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</row>
    <row r="162" spans="1:105" hidden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</row>
    <row r="163" spans="1:105" hidden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</row>
    <row r="164" spans="1:105" hidden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</row>
    <row r="165" spans="1:105" hidden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</row>
    <row r="166" spans="1:105" hidden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</row>
    <row r="167" spans="1:105" hidden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</row>
    <row r="168" spans="1:105" hidden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</row>
    <row r="169" spans="1:105" hidden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</row>
    <row r="170" spans="1:105" hidden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</row>
    <row r="171" spans="1:105" hidden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</row>
    <row r="172" spans="1:105" hidden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</row>
    <row r="173" spans="1:105" hidden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</row>
    <row r="174" spans="1:105" hidden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</row>
    <row r="175" spans="1:105" hidden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</row>
    <row r="176" spans="1:105" hidden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</row>
    <row r="177" spans="1:105" hidden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</row>
    <row r="178" spans="1:105" hidden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</row>
    <row r="179" spans="1:105" hidden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</row>
    <row r="180" spans="1:105" hidden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</row>
    <row r="181" spans="1:105" hidden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</row>
  </sheetData>
  <sheetProtection selectLockedCells="1"/>
  <mergeCells count="10">
    <mergeCell ref="B61:K62"/>
    <mergeCell ref="B3:B4"/>
    <mergeCell ref="J3:K3"/>
    <mergeCell ref="B42:K43"/>
    <mergeCell ref="J24:K24"/>
    <mergeCell ref="B39:K39"/>
    <mergeCell ref="B45:B46"/>
    <mergeCell ref="J45:K45"/>
    <mergeCell ref="J26:K26"/>
    <mergeCell ref="J25:K25"/>
  </mergeCells>
  <dataValidations count="7">
    <dataValidation allowBlank="1" showInputMessage="1" showErrorMessage="1" errorTitle="Erro" error="Não introduzir dados nesta célula" sqref="B42 B40" xr:uid="{AC2C71C8-BAD7-42B3-80DB-5121BA3C6F5D}"/>
    <dataValidation type="custom" allowBlank="1" showInputMessage="1" showErrorMessage="1" errorTitle="Erro" error="Não introduzir dados nesta célula" sqref="C44:J44" xr:uid="{8431BB90-9CA4-4E7D-B454-DA3F65622D14}">
      <formula1>"&lt;&gt;"""""</formula1>
    </dataValidation>
    <dataValidation type="decimal" operator="greaterThanOrEqual" allowBlank="1" showInputMessage="1" showErrorMessage="1" error="Introduzir número positivo" sqref="C52:I54 C10:I12" xr:uid="{583A7C47-C55D-4372-B84B-2F5E7F53386C}">
      <formula1>0</formula1>
    </dataValidation>
    <dataValidation type="decimal" operator="greaterThanOrEqual" allowBlank="1" showInputMessage="1" showErrorMessage="1" error="Indroduzir número positivo" sqref="C19:I21" xr:uid="{86AA2C9E-DD3B-4F1C-9F9A-32C3FEC07F5E}">
      <formula1>0</formula1>
    </dataValidation>
    <dataValidation type="decimal" operator="greaterThanOrEqual" allowBlank="1" showInputMessage="1" showErrorMessage="1" error="Introduzir n.º superior ou igual a zero" sqref="C17:I17" xr:uid="{0158F9FD-E224-4F05-BE5F-F27B160205D7}">
      <formula1>0</formula1>
    </dataValidation>
    <dataValidation type="decimal" operator="greaterThanOrEqual" allowBlank="1" showInputMessage="1" showErrorMessage="1" error="Introduzir n.º igual ou superior a zero" sqref="C48:I50" xr:uid="{836B3BF3-EF98-4560-862B-9F1B44756836}">
      <formula1>0</formula1>
    </dataValidation>
    <dataValidation type="decimal" operator="greaterThanOrEqual" allowBlank="1" showInputMessage="1" showErrorMessage="1" error="Introduzir n.º positivo" sqref="C56:I57" xr:uid="{B06EF95B-A56E-448D-8361-E44B39A29A4F}">
      <formula1>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CD25-325E-4B66-8E8A-7C04FB1FDC99}">
  <sheetPr>
    <tabColor theme="4" tint="0.59999389629810485"/>
  </sheetPr>
  <dimension ref="A1:CJ360"/>
  <sheetViews>
    <sheetView topLeftCell="A53" workbookViewId="0">
      <selection activeCell="C49" sqref="C49:I52"/>
    </sheetView>
  </sheetViews>
  <sheetFormatPr defaultColWidth="0" defaultRowHeight="14.6" zeroHeight="1" x14ac:dyDescent="0.4"/>
  <cols>
    <col min="1" max="1" width="9.15234375" customWidth="1"/>
    <col min="2" max="2" width="63.3046875" customWidth="1"/>
    <col min="3" max="3" width="13.53515625" bestFit="1" customWidth="1"/>
    <col min="4" max="4" width="13.69140625" bestFit="1" customWidth="1"/>
    <col min="5" max="5" width="13.53515625" bestFit="1" customWidth="1"/>
    <col min="6" max="6" width="13.69140625" bestFit="1" customWidth="1"/>
    <col min="7" max="8" width="13.53515625" bestFit="1" customWidth="1"/>
    <col min="9" max="9" width="13.69140625" bestFit="1" customWidth="1"/>
    <col min="10" max="10" width="15.3046875" bestFit="1" customWidth="1"/>
    <col min="11" max="11" width="9.3828125" customWidth="1"/>
    <col min="12" max="12" width="9.15234375" customWidth="1"/>
    <col min="13" max="14" width="9.15234375" hidden="1" customWidth="1"/>
    <col min="15" max="88" width="0" hidden="1" customWidth="1"/>
    <col min="89" max="16384" width="9.15234375" hidden="1"/>
  </cols>
  <sheetData>
    <row r="1" spans="1:80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80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80" x14ac:dyDescent="0.4">
      <c r="A3" s="1"/>
      <c r="B3" s="1"/>
      <c r="C3" s="2"/>
      <c r="D3" s="2"/>
      <c r="E3" s="2"/>
      <c r="F3" s="2"/>
      <c r="G3" s="2"/>
      <c r="H3" s="1"/>
      <c r="I3" s="1"/>
      <c r="J3" s="220"/>
      <c r="K3" s="1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x14ac:dyDescent="0.4">
      <c r="A4" s="1"/>
      <c r="B4" s="631" t="s">
        <v>494</v>
      </c>
      <c r="C4" s="126">
        <v>2024</v>
      </c>
      <c r="D4" s="126">
        <v>2025</v>
      </c>
      <c r="E4" s="126">
        <v>2026</v>
      </c>
      <c r="F4" s="126">
        <v>2026</v>
      </c>
      <c r="G4" s="126">
        <v>2027</v>
      </c>
      <c r="H4" s="126">
        <v>2028</v>
      </c>
      <c r="I4" s="126">
        <v>2029</v>
      </c>
      <c r="J4" s="637"/>
      <c r="K4" s="6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x14ac:dyDescent="0.4">
      <c r="A5" s="1"/>
      <c r="B5" s="632"/>
      <c r="C5" s="126" t="s">
        <v>77</v>
      </c>
      <c r="D5" s="126" t="s">
        <v>77</v>
      </c>
      <c r="E5" s="126" t="s">
        <v>78</v>
      </c>
      <c r="F5" s="126" t="s">
        <v>368</v>
      </c>
      <c r="G5" s="126" t="s">
        <v>79</v>
      </c>
      <c r="H5" s="126" t="s">
        <v>79</v>
      </c>
      <c r="I5" s="126" t="s">
        <v>79</v>
      </c>
      <c r="J5" s="627"/>
      <c r="K5" s="62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x14ac:dyDescent="0.4">
      <c r="A6" s="1"/>
      <c r="B6" s="511" t="s">
        <v>321</v>
      </c>
      <c r="C6" s="289" t="str">
        <f>IFERROR(FO_PC_2024/Ativo_2024,"")</f>
        <v/>
      </c>
      <c r="D6" s="289" t="str">
        <f>IFERROR(FO_PC_2025/ATIVO_2025,"")</f>
        <v/>
      </c>
      <c r="E6" s="289" t="str">
        <f>IFERROR(FO_PC_2026PAO/ATIVO_2026PAO,"")</f>
        <v/>
      </c>
      <c r="F6" s="289" t="str">
        <f>IFERROR(FO_PC_2026E/ATIVO_2026E,"")</f>
        <v/>
      </c>
      <c r="G6" s="289" t="str">
        <f>IFERROR(FO_PC_2027/ATIVO_2027,"")</f>
        <v/>
      </c>
      <c r="H6" s="289" t="str">
        <f>IFERROR(FO_PC_2028/ATIVO_2028,"")</f>
        <v/>
      </c>
      <c r="I6" s="289" t="str">
        <f>IFERROR(FO_PC_2029/ATIVO_2029,"")</f>
        <v/>
      </c>
      <c r="J6" s="629"/>
      <c r="K6" s="63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x14ac:dyDescent="0.4">
      <c r="A7" s="1"/>
      <c r="B7" s="512" t="s">
        <v>322</v>
      </c>
      <c r="C7" s="290" t="str">
        <f>IFERROR(FO_PNC_2024/Ativo_2024,"")</f>
        <v/>
      </c>
      <c r="D7" s="290" t="str">
        <f>IFERROR(FO_PNC_2025/ATIVO_2025,"")</f>
        <v/>
      </c>
      <c r="E7" s="290" t="str">
        <f>IFERROR(FO_PNC_2026PAO/ATIVO_2026PAO,"")</f>
        <v/>
      </c>
      <c r="F7" s="290" t="str">
        <f>IFERROR(FO_PNC_2026E/ATIVO_2026E,"")</f>
        <v/>
      </c>
      <c r="G7" s="290" t="str">
        <f>IFERROR(FO_PNC_2027/ATIVO_2027,"")</f>
        <v/>
      </c>
      <c r="H7" s="290" t="str">
        <f>IFERROR(FO_PNC_2028/ATIVO_2028,"")</f>
        <v/>
      </c>
      <c r="I7" s="290" t="str">
        <f>IFERROR(FO_PNC_2029/ATIVO_2029,"")</f>
        <v/>
      </c>
      <c r="J7" s="629"/>
      <c r="K7" s="63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x14ac:dyDescent="0.4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x14ac:dyDescent="0.4">
      <c r="A9" s="1"/>
      <c r="B9" s="69"/>
      <c r="C9" s="1"/>
      <c r="D9" s="1"/>
      <c r="E9" s="1"/>
      <c r="F9" s="1"/>
      <c r="G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x14ac:dyDescent="0.4">
      <c r="A10" s="1"/>
      <c r="B10" s="69"/>
      <c r="C10" s="55"/>
      <c r="D10" s="55"/>
      <c r="E10" s="55"/>
      <c r="F10" s="1"/>
      <c r="G10" s="1"/>
      <c r="H10" s="1"/>
      <c r="J10" s="220" t="s">
        <v>129</v>
      </c>
      <c r="K10" s="136" t="s">
        <v>359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x14ac:dyDescent="0.4">
      <c r="A11" s="1"/>
      <c r="B11" s="635" t="s">
        <v>353</v>
      </c>
      <c r="C11" s="126">
        <v>2024</v>
      </c>
      <c r="D11" s="126">
        <v>2025</v>
      </c>
      <c r="E11" s="126">
        <v>2026</v>
      </c>
      <c r="F11" s="126">
        <v>2026</v>
      </c>
      <c r="G11" s="126">
        <v>2027</v>
      </c>
      <c r="H11" s="126">
        <v>2028</v>
      </c>
      <c r="I11" s="126">
        <v>2029</v>
      </c>
      <c r="J11" s="626" t="s">
        <v>478</v>
      </c>
      <c r="K11" s="62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x14ac:dyDescent="0.4">
      <c r="A12" s="1"/>
      <c r="B12" s="636"/>
      <c r="C12" s="126" t="s">
        <v>77</v>
      </c>
      <c r="D12" s="126" t="s">
        <v>77</v>
      </c>
      <c r="E12" s="126" t="s">
        <v>78</v>
      </c>
      <c r="F12" s="126" t="s">
        <v>368</v>
      </c>
      <c r="G12" s="126" t="s">
        <v>79</v>
      </c>
      <c r="H12" s="126" t="s">
        <v>79</v>
      </c>
      <c r="I12" s="126" t="s">
        <v>79</v>
      </c>
      <c r="J12" s="126" t="s">
        <v>182</v>
      </c>
      <c r="K12" s="126" t="s">
        <v>13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80" x14ac:dyDescent="0.4">
      <c r="A13" s="1"/>
      <c r="B13" s="508" t="s">
        <v>354</v>
      </c>
      <c r="C13" s="291"/>
      <c r="D13" s="291"/>
      <c r="E13" s="291"/>
      <c r="F13" s="291"/>
      <c r="G13" s="291"/>
      <c r="H13" s="291"/>
      <c r="I13" s="291"/>
      <c r="J13" s="292" t="str">
        <f>IF(AND(F13="",G13=""),"",IF(ISERROR(G13-F13),"",G13-F13))</f>
        <v/>
      </c>
      <c r="K13" s="293" t="str">
        <f>IFERROR((G13-F13)/F13,"")</f>
        <v/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</row>
    <row r="14" spans="1:80" x14ac:dyDescent="0.4">
      <c r="A14" s="1"/>
      <c r="B14" s="508" t="s">
        <v>355</v>
      </c>
      <c r="C14" s="291"/>
      <c r="D14" s="291"/>
      <c r="E14" s="291"/>
      <c r="F14" s="291"/>
      <c r="G14" s="291"/>
      <c r="H14" s="291"/>
      <c r="I14" s="291"/>
      <c r="J14" s="292" t="str">
        <f t="shared" ref="J14:J18" si="0">IF(AND(F14="",G14=""),"",IF(ISERROR(G14-F14),"",G14-F14))</f>
        <v/>
      </c>
      <c r="K14" s="293" t="str">
        <f t="shared" ref="K14:K18" si="1">IFERROR((G14-F14)/F14,"")</f>
        <v/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</row>
    <row r="15" spans="1:80" x14ac:dyDescent="0.4">
      <c r="A15" s="1"/>
      <c r="B15" s="508" t="s">
        <v>356</v>
      </c>
      <c r="C15" s="291"/>
      <c r="D15" s="291"/>
      <c r="E15" s="291"/>
      <c r="F15" s="291"/>
      <c r="G15" s="291"/>
      <c r="H15" s="291"/>
      <c r="I15" s="291"/>
      <c r="J15" s="292" t="str">
        <f t="shared" si="0"/>
        <v/>
      </c>
      <c r="K15" s="293" t="str">
        <f t="shared" si="1"/>
        <v/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</row>
    <row r="16" spans="1:80" x14ac:dyDescent="0.4">
      <c r="A16" s="1"/>
      <c r="B16" s="508" t="s">
        <v>357</v>
      </c>
      <c r="C16" s="291"/>
      <c r="D16" s="291"/>
      <c r="E16" s="291"/>
      <c r="F16" s="291"/>
      <c r="G16" s="291"/>
      <c r="H16" s="291"/>
      <c r="I16" s="291"/>
      <c r="J16" s="292" t="str">
        <f t="shared" si="0"/>
        <v/>
      </c>
      <c r="K16" s="293" t="str">
        <f t="shared" si="1"/>
        <v/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</row>
    <row r="17" spans="1:88" x14ac:dyDescent="0.4">
      <c r="A17" s="1"/>
      <c r="B17" s="508" t="s">
        <v>352</v>
      </c>
      <c r="C17" s="291"/>
      <c r="D17" s="291"/>
      <c r="E17" s="291"/>
      <c r="F17" s="291"/>
      <c r="G17" s="291"/>
      <c r="H17" s="291"/>
      <c r="I17" s="291"/>
      <c r="J17" s="292" t="str">
        <f t="shared" si="0"/>
        <v/>
      </c>
      <c r="K17" s="293" t="str">
        <f t="shared" si="1"/>
        <v/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</row>
    <row r="18" spans="1:88" x14ac:dyDescent="0.4">
      <c r="A18" s="1"/>
      <c r="B18" s="203" t="s">
        <v>235</v>
      </c>
      <c r="C18" s="294" t="str">
        <f>IF(COUNT(C13:C17)=0,"",SUM(C13:C17))</f>
        <v/>
      </c>
      <c r="D18" s="294" t="str">
        <f>IF(COUNT(D13:D17)=0,"",SUM(D13:D17))</f>
        <v/>
      </c>
      <c r="E18" s="294" t="str">
        <f t="shared" ref="E18:I18" si="2">IF(COUNT(E13:E17)=0,"",SUM(E13:E17))</f>
        <v/>
      </c>
      <c r="F18" s="294" t="str">
        <f t="shared" si="2"/>
        <v/>
      </c>
      <c r="G18" s="294" t="str">
        <f t="shared" si="2"/>
        <v/>
      </c>
      <c r="H18" s="294" t="str">
        <f t="shared" si="2"/>
        <v/>
      </c>
      <c r="I18" s="294" t="str">
        <f t="shared" si="2"/>
        <v/>
      </c>
      <c r="J18" s="295" t="str">
        <f t="shared" si="0"/>
        <v/>
      </c>
      <c r="K18" s="296" t="str">
        <f t="shared" si="1"/>
        <v/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</row>
    <row r="19" spans="1:88" x14ac:dyDescent="0.4">
      <c r="A19" s="1"/>
      <c r="B19" s="69"/>
      <c r="C19" s="55"/>
      <c r="D19" s="55"/>
      <c r="E19" s="5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8" x14ac:dyDescent="0.4">
      <c r="A20" s="1"/>
      <c r="B20" s="2"/>
      <c r="C20" s="2"/>
      <c r="D20" s="2"/>
      <c r="E20" s="2"/>
      <c r="F20" s="2"/>
      <c r="G20" s="2"/>
      <c r="H20" s="2"/>
      <c r="I20" s="2"/>
      <c r="J20" s="221" t="s">
        <v>129</v>
      </c>
      <c r="K20" s="119" t="s">
        <v>243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8" x14ac:dyDescent="0.4">
      <c r="A21" s="1"/>
      <c r="B21" s="631" t="s">
        <v>244</v>
      </c>
      <c r="C21" s="126">
        <v>2024</v>
      </c>
      <c r="D21" s="126">
        <v>2025</v>
      </c>
      <c r="E21" s="126">
        <v>2026</v>
      </c>
      <c r="F21" s="126">
        <v>2026</v>
      </c>
      <c r="G21" s="126">
        <v>2027</v>
      </c>
      <c r="H21" s="126">
        <v>2028</v>
      </c>
      <c r="I21" s="126">
        <v>2029</v>
      </c>
      <c r="J21" s="626" t="s">
        <v>478</v>
      </c>
      <c r="K21" s="62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8" x14ac:dyDescent="0.4">
      <c r="A22" s="1"/>
      <c r="B22" s="632"/>
      <c r="C22" s="126" t="s">
        <v>77</v>
      </c>
      <c r="D22" s="126" t="s">
        <v>77</v>
      </c>
      <c r="E22" s="126" t="s">
        <v>78</v>
      </c>
      <c r="F22" s="126" t="s">
        <v>368</v>
      </c>
      <c r="G22" s="126" t="s">
        <v>79</v>
      </c>
      <c r="H22" s="126" t="s">
        <v>79</v>
      </c>
      <c r="I22" s="126" t="s">
        <v>79</v>
      </c>
      <c r="J22" s="126" t="s">
        <v>182</v>
      </c>
      <c r="K22" s="126" t="s">
        <v>13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8" x14ac:dyDescent="0.4">
      <c r="A23" s="1"/>
      <c r="B23" s="494" t="s">
        <v>244</v>
      </c>
      <c r="C23" s="297"/>
      <c r="D23" s="297"/>
      <c r="E23" s="297"/>
      <c r="F23" s="297"/>
      <c r="G23" s="297"/>
      <c r="H23" s="297"/>
      <c r="I23" s="297"/>
      <c r="J23" s="166" t="str">
        <f>IF(AND(F23="",G23=""),"",IF(ISERROR(G23-F23),"",G23-F23))</f>
        <v/>
      </c>
      <c r="K23" s="167" t="str">
        <f>IFERROR(J23/ABS(F23),"")</f>
        <v/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</row>
    <row r="24" spans="1:88" x14ac:dyDescent="0.4">
      <c r="A24" s="1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</row>
    <row r="25" spans="1:88" ht="41.25" customHeight="1" x14ac:dyDescent="0.4">
      <c r="A25" s="1"/>
      <c r="B25" s="634" t="s">
        <v>324</v>
      </c>
      <c r="C25" s="634"/>
      <c r="D25" s="634"/>
      <c r="E25" s="634"/>
      <c r="F25" s="634"/>
      <c r="G25" s="634"/>
      <c r="H25" s="634"/>
      <c r="I25" s="634"/>
      <c r="J25" s="634"/>
      <c r="K25" s="634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8" ht="11.25" customHeight="1" x14ac:dyDescent="0.4">
      <c r="A26" s="1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8" x14ac:dyDescent="0.4">
      <c r="A27" s="1"/>
      <c r="B27" s="96"/>
      <c r="C27" s="96"/>
      <c r="D27" s="96"/>
      <c r="E27" s="96"/>
      <c r="F27" s="96"/>
      <c r="G27" s="96"/>
      <c r="H27" s="96"/>
      <c r="I27" s="96"/>
      <c r="J27" s="96" t="s">
        <v>129</v>
      </c>
      <c r="K27" s="136" t="s">
        <v>359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</row>
    <row r="28" spans="1:88" x14ac:dyDescent="0.4">
      <c r="A28" s="1"/>
      <c r="B28" s="633" t="s">
        <v>245</v>
      </c>
      <c r="C28" s="126">
        <v>2024</v>
      </c>
      <c r="D28" s="126">
        <v>2025</v>
      </c>
      <c r="E28" s="126">
        <v>2026</v>
      </c>
      <c r="F28" s="126">
        <v>2026</v>
      </c>
      <c r="G28" s="126">
        <v>2027</v>
      </c>
      <c r="H28" s="126">
        <v>2028</v>
      </c>
      <c r="I28" s="126">
        <v>2029</v>
      </c>
      <c r="J28" s="626" t="s">
        <v>478</v>
      </c>
      <c r="K28" s="62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</row>
    <row r="29" spans="1:88" x14ac:dyDescent="0.4">
      <c r="A29" s="1"/>
      <c r="B29" s="633"/>
      <c r="C29" s="126" t="s">
        <v>77</v>
      </c>
      <c r="D29" s="126" t="s">
        <v>77</v>
      </c>
      <c r="E29" s="126" t="s">
        <v>78</v>
      </c>
      <c r="F29" s="126" t="s">
        <v>368</v>
      </c>
      <c r="G29" s="126" t="s">
        <v>79</v>
      </c>
      <c r="H29" s="126" t="s">
        <v>79</v>
      </c>
      <c r="I29" s="126" t="s">
        <v>79</v>
      </c>
      <c r="J29" s="126" t="s">
        <v>182</v>
      </c>
      <c r="K29" s="126" t="s">
        <v>13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</row>
    <row r="30" spans="1:88" x14ac:dyDescent="0.4">
      <c r="A30" s="1"/>
      <c r="B30" s="494" t="s">
        <v>245</v>
      </c>
      <c r="C30" s="279"/>
      <c r="D30" s="279"/>
      <c r="E30" s="279"/>
      <c r="F30" s="279"/>
      <c r="G30" s="279"/>
      <c r="H30" s="279"/>
      <c r="I30" s="279"/>
      <c r="J30" s="197" t="str">
        <f>IF(AND(F30="",G30=""),"",IF(ISERROR(G30-F30),"",G30-F30))</f>
        <v/>
      </c>
      <c r="K30" s="174" t="str">
        <f>IFERROR(J30/ABS(F30),"")</f>
        <v/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</row>
    <row r="31" spans="1:88" x14ac:dyDescent="0.4">
      <c r="A31" s="1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</row>
    <row r="32" spans="1:88" x14ac:dyDescent="0.4">
      <c r="A32" s="1"/>
      <c r="B32" s="96"/>
      <c r="C32" s="96"/>
      <c r="D32" s="96"/>
      <c r="E32" s="96"/>
      <c r="F32" s="96"/>
      <c r="G32" s="96"/>
      <c r="H32" s="96"/>
      <c r="I32" s="96"/>
      <c r="J32" s="96" t="s">
        <v>129</v>
      </c>
      <c r="K32" s="136" t="s">
        <v>247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</row>
    <row r="33" spans="1:88" x14ac:dyDescent="0.4">
      <c r="A33" s="1"/>
      <c r="B33" s="633" t="s">
        <v>248</v>
      </c>
      <c r="C33" s="126">
        <v>2024</v>
      </c>
      <c r="D33" s="126">
        <v>2025</v>
      </c>
      <c r="E33" s="126">
        <v>2026</v>
      </c>
      <c r="F33" s="126">
        <v>2026</v>
      </c>
      <c r="G33" s="126">
        <v>2027</v>
      </c>
      <c r="H33" s="126">
        <v>2028</v>
      </c>
      <c r="I33" s="126">
        <v>2029</v>
      </c>
      <c r="J33" s="626" t="s">
        <v>478</v>
      </c>
      <c r="K33" s="62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</row>
    <row r="34" spans="1:88" x14ac:dyDescent="0.4">
      <c r="A34" s="1"/>
      <c r="B34" s="633"/>
      <c r="C34" s="126" t="s">
        <v>77</v>
      </c>
      <c r="D34" s="126" t="s">
        <v>77</v>
      </c>
      <c r="E34" s="126" t="s">
        <v>78</v>
      </c>
      <c r="F34" s="126" t="s">
        <v>368</v>
      </c>
      <c r="G34" s="126" t="s">
        <v>79</v>
      </c>
      <c r="H34" s="126" t="s">
        <v>79</v>
      </c>
      <c r="I34" s="126" t="s">
        <v>79</v>
      </c>
      <c r="J34" s="126" t="s">
        <v>182</v>
      </c>
      <c r="K34" s="126" t="s">
        <v>13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</row>
    <row r="35" spans="1:88" x14ac:dyDescent="0.4">
      <c r="A35" s="1"/>
      <c r="B35" s="494" t="s">
        <v>249</v>
      </c>
      <c r="C35" s="280"/>
      <c r="D35" s="280"/>
      <c r="E35" s="280"/>
      <c r="F35" s="280"/>
      <c r="G35" s="280"/>
      <c r="H35" s="280"/>
      <c r="I35" s="280"/>
      <c r="J35" s="281" t="str">
        <f>IF(AND(F35="",G35=""),"",IF(ISERROR(G35-F35),"",G35-F35))</f>
        <v/>
      </c>
      <c r="K35" s="174" t="str">
        <f>IFERROR(J35/ABS(F35),"")</f>
        <v/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</row>
    <row r="36" spans="1:88" x14ac:dyDescent="0.4">
      <c r="A36" s="1"/>
      <c r="B36" s="494" t="s">
        <v>250</v>
      </c>
      <c r="C36" s="280"/>
      <c r="D36" s="280"/>
      <c r="E36" s="280"/>
      <c r="F36" s="280"/>
      <c r="G36" s="280"/>
      <c r="H36" s="280"/>
      <c r="I36" s="280"/>
      <c r="J36" s="281" t="str">
        <f t="shared" ref="J36:J43" si="3">IF(AND(F36="",G36=""),"",IF(ISERROR(G36-F36),"",G36-F36))</f>
        <v/>
      </c>
      <c r="K36" s="174" t="str">
        <f t="shared" ref="K36:K43" si="4">IFERROR(J36/ABS(F36),"")</f>
        <v/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</row>
    <row r="37" spans="1:88" x14ac:dyDescent="0.4">
      <c r="A37" s="1"/>
      <c r="B37" s="494" t="s">
        <v>251</v>
      </c>
      <c r="C37" s="280"/>
      <c r="D37" s="280"/>
      <c r="E37" s="280"/>
      <c r="F37" s="280"/>
      <c r="G37" s="280"/>
      <c r="H37" s="280"/>
      <c r="I37" s="280"/>
      <c r="J37" s="281" t="str">
        <f t="shared" si="3"/>
        <v/>
      </c>
      <c r="K37" s="174" t="str">
        <f t="shared" si="4"/>
        <v/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</row>
    <row r="38" spans="1:88" x14ac:dyDescent="0.4">
      <c r="A38" s="1"/>
      <c r="B38" s="494" t="s">
        <v>252</v>
      </c>
      <c r="C38" s="280"/>
      <c r="D38" s="280"/>
      <c r="E38" s="280"/>
      <c r="F38" s="280"/>
      <c r="G38" s="280"/>
      <c r="H38" s="280"/>
      <c r="I38" s="280"/>
      <c r="J38" s="281" t="str">
        <f t="shared" si="3"/>
        <v/>
      </c>
      <c r="K38" s="174" t="str">
        <f t="shared" si="4"/>
        <v/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</row>
    <row r="39" spans="1:88" x14ac:dyDescent="0.4">
      <c r="A39" s="1"/>
      <c r="B39" s="494" t="s">
        <v>253</v>
      </c>
      <c r="C39" s="280"/>
      <c r="D39" s="280"/>
      <c r="E39" s="280"/>
      <c r="F39" s="280"/>
      <c r="G39" s="280"/>
      <c r="H39" s="280"/>
      <c r="I39" s="280"/>
      <c r="J39" s="281" t="str">
        <f>IF(AND(F39="",G39=""),"",IF(ISERROR(G39-F39),"",G39-F39))</f>
        <v/>
      </c>
      <c r="K39" s="174" t="str">
        <f>IFERROR(J39/ABS(F39),"")</f>
        <v/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</row>
    <row r="40" spans="1:88" x14ac:dyDescent="0.4">
      <c r="A40" s="1"/>
      <c r="B40" s="494" t="s">
        <v>200</v>
      </c>
      <c r="C40" s="280"/>
      <c r="D40" s="280"/>
      <c r="E40" s="280"/>
      <c r="F40" s="280"/>
      <c r="G40" s="280"/>
      <c r="H40" s="280"/>
      <c r="I40" s="280"/>
      <c r="J40" s="281" t="str">
        <f t="shared" si="3"/>
        <v/>
      </c>
      <c r="K40" s="174" t="str">
        <f t="shared" si="4"/>
        <v/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</row>
    <row r="41" spans="1:88" x14ac:dyDescent="0.4">
      <c r="A41" s="1"/>
      <c r="B41" s="494" t="s">
        <v>254</v>
      </c>
      <c r="C41" s="280"/>
      <c r="D41" s="280"/>
      <c r="E41" s="280"/>
      <c r="F41" s="280"/>
      <c r="G41" s="280"/>
      <c r="H41" s="280"/>
      <c r="I41" s="280"/>
      <c r="J41" s="281" t="str">
        <f t="shared" si="3"/>
        <v/>
      </c>
      <c r="K41" s="174" t="str">
        <f t="shared" si="4"/>
        <v/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</row>
    <row r="42" spans="1:88" x14ac:dyDescent="0.4">
      <c r="A42" s="1"/>
      <c r="B42" s="494" t="s">
        <v>255</v>
      </c>
      <c r="C42" s="280"/>
      <c r="D42" s="280"/>
      <c r="E42" s="280"/>
      <c r="F42" s="280"/>
      <c r="G42" s="280"/>
      <c r="H42" s="280"/>
      <c r="I42" s="280"/>
      <c r="J42" s="281" t="str">
        <f t="shared" si="3"/>
        <v/>
      </c>
      <c r="K42" s="174" t="str">
        <f t="shared" si="4"/>
        <v/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</row>
    <row r="43" spans="1:88" x14ac:dyDescent="0.4">
      <c r="A43" s="1"/>
      <c r="B43" s="510" t="s">
        <v>235</v>
      </c>
      <c r="C43" s="284" t="str">
        <f>IF(COUNT(C35:C42)=0,"",SUM(C35:C42))</f>
        <v/>
      </c>
      <c r="D43" s="284" t="str">
        <f t="shared" ref="D43:I43" si="5">IF(COUNT(D35:D42)=0,"",SUM(D35:D42))</f>
        <v/>
      </c>
      <c r="E43" s="284" t="str">
        <f t="shared" si="5"/>
        <v/>
      </c>
      <c r="F43" s="284" t="str">
        <f t="shared" si="5"/>
        <v/>
      </c>
      <c r="G43" s="284" t="str">
        <f t="shared" si="5"/>
        <v/>
      </c>
      <c r="H43" s="284" t="str">
        <f t="shared" si="5"/>
        <v/>
      </c>
      <c r="I43" s="284" t="str">
        <f t="shared" si="5"/>
        <v/>
      </c>
      <c r="J43" s="283" t="str">
        <f t="shared" si="3"/>
        <v/>
      </c>
      <c r="K43" s="231" t="str">
        <f t="shared" si="4"/>
        <v/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</row>
    <row r="44" spans="1:88" x14ac:dyDescent="0.4">
      <c r="A44" s="1"/>
      <c r="B44" s="96"/>
      <c r="C44" s="228"/>
      <c r="D44" s="228"/>
      <c r="E44" s="228"/>
      <c r="F44" s="228"/>
      <c r="G44" s="228"/>
      <c r="H44" s="228"/>
      <c r="I44" s="228"/>
      <c r="J44" s="453"/>
      <c r="K44" s="199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</row>
    <row r="45" spans="1:88" x14ac:dyDescent="0.4">
      <c r="A45" s="1"/>
      <c r="B45" s="117" t="s">
        <v>455</v>
      </c>
      <c r="C45" s="457" t="str">
        <f>IFERROR(C43+FSE_2024,"")</f>
        <v/>
      </c>
      <c r="D45" s="457" t="str">
        <f>IFERROR(D43+FSE_2025,"")</f>
        <v/>
      </c>
      <c r="E45" s="457" t="str">
        <f>IFERROR(E43+FSE_2026PAO,"")</f>
        <v/>
      </c>
      <c r="F45" s="457" t="str">
        <f>IFERROR(F43+FSE_2026E,"")</f>
        <v/>
      </c>
      <c r="G45" s="457" t="str">
        <f>IFERROR(G43+FSE_2027,"")</f>
        <v/>
      </c>
      <c r="H45" s="457" t="str">
        <f>IFERROR(H43+FSE_2028,"")</f>
        <v/>
      </c>
      <c r="I45" s="457" t="str">
        <f>IFERROR(I43+FSE_2029,"")</f>
        <v/>
      </c>
      <c r="J45" s="96"/>
      <c r="K45" s="9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</row>
    <row r="46" spans="1:88" x14ac:dyDescent="0.4">
      <c r="A46" s="1"/>
      <c r="B46" s="96"/>
      <c r="C46" s="96"/>
      <c r="D46" s="96"/>
      <c r="E46" s="96"/>
      <c r="F46" s="96"/>
      <c r="G46" s="96"/>
      <c r="H46" s="96"/>
      <c r="I46" s="96"/>
      <c r="J46" s="96"/>
      <c r="K46" s="13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</row>
    <row r="47" spans="1:88" x14ac:dyDescent="0.4">
      <c r="A47" s="1"/>
      <c r="B47" s="633" t="s">
        <v>256</v>
      </c>
      <c r="C47" s="126">
        <v>2024</v>
      </c>
      <c r="D47" s="126">
        <v>2025</v>
      </c>
      <c r="E47" s="126">
        <v>2026</v>
      </c>
      <c r="F47" s="126">
        <v>2026</v>
      </c>
      <c r="G47" s="126">
        <v>2027</v>
      </c>
      <c r="H47" s="126">
        <v>2028</v>
      </c>
      <c r="I47" s="126">
        <v>2029</v>
      </c>
      <c r="J47" s="626" t="s">
        <v>478</v>
      </c>
      <c r="K47" s="62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</row>
    <row r="48" spans="1:88" x14ac:dyDescent="0.4">
      <c r="A48" s="1"/>
      <c r="B48" s="633"/>
      <c r="C48" s="126" t="s">
        <v>77</v>
      </c>
      <c r="D48" s="126" t="s">
        <v>77</v>
      </c>
      <c r="E48" s="126" t="s">
        <v>78</v>
      </c>
      <c r="F48" s="126" t="s">
        <v>368</v>
      </c>
      <c r="G48" s="126" t="s">
        <v>79</v>
      </c>
      <c r="H48" s="126" t="s">
        <v>79</v>
      </c>
      <c r="I48" s="126" t="s">
        <v>79</v>
      </c>
      <c r="J48" s="126" t="s">
        <v>182</v>
      </c>
      <c r="K48" s="126" t="s">
        <v>13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</row>
    <row r="49" spans="1:88" x14ac:dyDescent="0.4">
      <c r="A49" s="1"/>
      <c r="B49" s="494" t="s">
        <v>257</v>
      </c>
      <c r="C49" s="280"/>
      <c r="D49" s="280"/>
      <c r="E49" s="280"/>
      <c r="F49" s="280"/>
      <c r="G49" s="280"/>
      <c r="H49" s="280"/>
      <c r="I49" s="280"/>
      <c r="J49" s="281" t="str">
        <f>IF(AND(F49="",G49=""),"",IF(ISERROR(G49-F49),"",G49-F49))</f>
        <v/>
      </c>
      <c r="K49" s="174" t="str">
        <f>IFERROR(J49/ABS(F49),"")</f>
        <v/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</row>
    <row r="50" spans="1:88" x14ac:dyDescent="0.4">
      <c r="A50" s="1"/>
      <c r="B50" s="494" t="s">
        <v>258</v>
      </c>
      <c r="C50" s="287"/>
      <c r="D50" s="287"/>
      <c r="E50" s="287"/>
      <c r="F50" s="287"/>
      <c r="G50" s="280"/>
      <c r="H50" s="287"/>
      <c r="I50" s="287"/>
      <c r="J50" s="286" t="str">
        <f t="shared" ref="J50:J52" si="6">IF(AND(F50="",G50=""),"",IF(ISERROR(G50-F50),"",G50-F50))</f>
        <v/>
      </c>
      <c r="K50" s="174" t="str">
        <f t="shared" ref="K50:K52" si="7">IFERROR(J50/ABS(F50),"")</f>
        <v/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</row>
    <row r="51" spans="1:88" x14ac:dyDescent="0.4">
      <c r="A51" s="1"/>
      <c r="B51" s="494" t="s">
        <v>259</v>
      </c>
      <c r="C51" s="280"/>
      <c r="D51" s="280"/>
      <c r="E51" s="280"/>
      <c r="F51" s="280"/>
      <c r="G51" s="280"/>
      <c r="H51" s="280"/>
      <c r="I51" s="280"/>
      <c r="J51" s="281" t="str">
        <f t="shared" si="6"/>
        <v/>
      </c>
      <c r="K51" s="174" t="str">
        <f t="shared" si="7"/>
        <v/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</row>
    <row r="52" spans="1:88" x14ac:dyDescent="0.4">
      <c r="A52" s="1"/>
      <c r="B52" s="494" t="s">
        <v>260</v>
      </c>
      <c r="C52" s="287"/>
      <c r="D52" s="287"/>
      <c r="E52" s="287"/>
      <c r="F52" s="287"/>
      <c r="G52" s="280"/>
      <c r="H52" s="287"/>
      <c r="I52" s="287"/>
      <c r="J52" s="286" t="str">
        <f t="shared" si="6"/>
        <v/>
      </c>
      <c r="K52" s="174" t="str">
        <f t="shared" si="7"/>
        <v/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</row>
    <row r="53" spans="1:88" x14ac:dyDescent="0.4">
      <c r="A53" s="1"/>
      <c r="B53" s="96"/>
      <c r="C53" s="198"/>
      <c r="D53" s="198"/>
      <c r="E53" s="198"/>
      <c r="F53" s="198"/>
      <c r="G53" s="198"/>
      <c r="H53" s="198"/>
      <c r="I53" s="198"/>
      <c r="J53" s="285"/>
      <c r="K53" s="199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</row>
    <row r="54" spans="1:88" x14ac:dyDescent="0.4">
      <c r="A54" s="1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</row>
    <row r="55" spans="1:88" x14ac:dyDescent="0.4">
      <c r="A55" s="1"/>
      <c r="B55" s="625" t="s">
        <v>336</v>
      </c>
      <c r="C55" s="126">
        <v>2024</v>
      </c>
      <c r="D55" s="126">
        <v>2025</v>
      </c>
      <c r="E55" s="126">
        <v>2026</v>
      </c>
      <c r="F55" s="126">
        <v>2026</v>
      </c>
      <c r="G55" s="126">
        <v>2027</v>
      </c>
      <c r="H55" s="126">
        <v>2028</v>
      </c>
      <c r="I55" s="126">
        <v>2029</v>
      </c>
      <c r="J55" s="626" t="s">
        <v>478</v>
      </c>
      <c r="K55" s="62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</row>
    <row r="56" spans="1:88" ht="15.75" customHeight="1" x14ac:dyDescent="0.4">
      <c r="A56" s="1"/>
      <c r="B56" s="625"/>
      <c r="C56" s="126" t="s">
        <v>77</v>
      </c>
      <c r="D56" s="126" t="s">
        <v>77</v>
      </c>
      <c r="E56" s="126" t="s">
        <v>78</v>
      </c>
      <c r="F56" s="126" t="s">
        <v>368</v>
      </c>
      <c r="G56" s="126" t="s">
        <v>79</v>
      </c>
      <c r="H56" s="126" t="s">
        <v>79</v>
      </c>
      <c r="I56" s="126" t="s">
        <v>79</v>
      </c>
      <c r="J56" s="126" t="s">
        <v>182</v>
      </c>
      <c r="K56" s="126" t="s">
        <v>13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</row>
    <row r="57" spans="1:88" ht="15" customHeight="1" x14ac:dyDescent="0.4">
      <c r="A57" s="1"/>
      <c r="B57" s="509" t="s">
        <v>331</v>
      </c>
      <c r="C57" s="279"/>
      <c r="D57" s="279"/>
      <c r="E57" s="279"/>
      <c r="F57" s="279"/>
      <c r="G57" s="279"/>
      <c r="H57" s="279"/>
      <c r="I57" s="279"/>
      <c r="J57" s="197" t="str">
        <f>IF(AND(F57="",G57=""),"",IF(ISERROR(G57-F57),"",G57-F57))</f>
        <v/>
      </c>
      <c r="K57" s="174" t="str">
        <f>IFERROR(J57/ABS(F57),"")</f>
        <v/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</row>
    <row r="58" spans="1:88" x14ac:dyDescent="0.4">
      <c r="A58" s="1"/>
      <c r="B58" s="509" t="s">
        <v>332</v>
      </c>
      <c r="C58" s="279"/>
      <c r="D58" s="279"/>
      <c r="E58" s="279"/>
      <c r="F58" s="279"/>
      <c r="G58" s="279"/>
      <c r="H58" s="279"/>
      <c r="I58" s="279"/>
      <c r="J58" s="197" t="str">
        <f t="shared" ref="J58:J62" si="8">IF(AND(F58="",G58=""),"",IF(ISERROR(G58-F58),"",G58-F58))</f>
        <v/>
      </c>
      <c r="K58" s="174" t="str">
        <f t="shared" ref="K58:K62" si="9">IFERROR(J58/ABS(F58),"")</f>
        <v/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</row>
    <row r="59" spans="1:88" x14ac:dyDescent="0.4">
      <c r="A59" s="1"/>
      <c r="B59" s="509" t="s">
        <v>333</v>
      </c>
      <c r="C59" s="279"/>
      <c r="D59" s="279"/>
      <c r="E59" s="279"/>
      <c r="F59" s="279"/>
      <c r="G59" s="279"/>
      <c r="H59" s="279"/>
      <c r="I59" s="279"/>
      <c r="J59" s="197" t="str">
        <f t="shared" si="8"/>
        <v/>
      </c>
      <c r="K59" s="174" t="str">
        <f t="shared" si="9"/>
        <v/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</row>
    <row r="60" spans="1:88" x14ac:dyDescent="0.4">
      <c r="A60" s="1"/>
      <c r="B60" s="509" t="s">
        <v>334</v>
      </c>
      <c r="C60" s="279"/>
      <c r="D60" s="279"/>
      <c r="E60" s="279"/>
      <c r="F60" s="279"/>
      <c r="G60" s="279"/>
      <c r="H60" s="279"/>
      <c r="I60" s="279"/>
      <c r="J60" s="197" t="str">
        <f t="shared" si="8"/>
        <v/>
      </c>
      <c r="K60" s="174" t="str">
        <f t="shared" si="9"/>
        <v/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</row>
    <row r="61" spans="1:88" x14ac:dyDescent="0.4">
      <c r="A61" s="1"/>
      <c r="B61" s="509" t="s">
        <v>335</v>
      </c>
      <c r="C61" s="279"/>
      <c r="D61" s="279"/>
      <c r="E61" s="279"/>
      <c r="F61" s="279"/>
      <c r="G61" s="279"/>
      <c r="H61" s="279"/>
      <c r="I61" s="279"/>
      <c r="J61" s="197" t="str">
        <f t="shared" si="8"/>
        <v/>
      </c>
      <c r="K61" s="174" t="str">
        <f t="shared" si="9"/>
        <v/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</row>
    <row r="62" spans="1:88" x14ac:dyDescent="0.4">
      <c r="A62" s="1"/>
      <c r="B62" s="510" t="s">
        <v>235</v>
      </c>
      <c r="C62" s="298" t="str">
        <f>IF(COUNT(C57:C61)=0,"",SUM(C57:C61))</f>
        <v/>
      </c>
      <c r="D62" s="298" t="str">
        <f t="shared" ref="D62:I62" si="10">IF(COUNT(D57:D61)=0,"",SUM(D57:D61))</f>
        <v/>
      </c>
      <c r="E62" s="298" t="str">
        <f t="shared" si="10"/>
        <v/>
      </c>
      <c r="F62" s="298" t="str">
        <f t="shared" si="10"/>
        <v/>
      </c>
      <c r="G62" s="298" t="str">
        <f t="shared" si="10"/>
        <v/>
      </c>
      <c r="H62" s="298" t="str">
        <f t="shared" si="10"/>
        <v/>
      </c>
      <c r="I62" s="298" t="str">
        <f t="shared" si="10"/>
        <v/>
      </c>
      <c r="J62" s="234" t="str">
        <f t="shared" si="8"/>
        <v/>
      </c>
      <c r="K62" s="231" t="str">
        <f t="shared" si="9"/>
        <v/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</row>
    <row r="63" spans="1:88" x14ac:dyDescent="0.4">
      <c r="A63" s="1"/>
      <c r="B63" s="196"/>
      <c r="C63" s="2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</row>
    <row r="64" spans="1:88" x14ac:dyDescent="0.4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</row>
    <row r="65" spans="1:88" hidden="1" x14ac:dyDescent="0.4">
      <c r="A65" s="1"/>
      <c r="B65" s="2"/>
      <c r="C65" s="2"/>
      <c r="D65" s="2"/>
      <c r="E65" s="2"/>
      <c r="F65" s="2"/>
      <c r="G65" s="2"/>
      <c r="H65" s="2"/>
      <c r="I65" s="2"/>
      <c r="J65" s="2"/>
      <c r="K65" s="2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</row>
    <row r="66" spans="1:88" hidden="1" x14ac:dyDescent="0.4">
      <c r="A66" s="1"/>
      <c r="B66" s="2"/>
      <c r="C66" s="2"/>
      <c r="D66" s="2"/>
      <c r="E66" s="2"/>
      <c r="F66" s="2"/>
      <c r="G66" s="2"/>
      <c r="H66" s="2"/>
      <c r="I66" s="2"/>
      <c r="J66" s="2"/>
      <c r="K66" s="2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</row>
    <row r="67" spans="1:88" hidden="1" x14ac:dyDescent="0.4">
      <c r="A67" s="1"/>
      <c r="B67" s="2"/>
      <c r="C67" s="2"/>
      <c r="D67" s="2"/>
      <c r="E67" s="2"/>
      <c r="F67" s="2"/>
      <c r="G67" s="2"/>
      <c r="H67" s="2"/>
      <c r="I67" s="2"/>
      <c r="J67" s="2"/>
      <c r="K67" s="2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</row>
    <row r="68" spans="1:88" hidden="1" x14ac:dyDescent="0.4">
      <c r="A68" s="1"/>
      <c r="B68" s="2"/>
      <c r="C68" s="2"/>
      <c r="D68" s="2"/>
      <c r="E68" s="2"/>
      <c r="F68" s="2"/>
      <c r="G68" s="2"/>
      <c r="H68" s="2"/>
      <c r="I68" s="2"/>
      <c r="J68" s="2"/>
      <c r="K68" s="2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</row>
    <row r="69" spans="1:88" hidden="1" x14ac:dyDescent="0.4">
      <c r="A69" s="1"/>
      <c r="B69" s="2"/>
      <c r="C69" s="2"/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</row>
    <row r="70" spans="1:88" hidden="1" x14ac:dyDescent="0.4">
      <c r="A70" s="1"/>
      <c r="B70" s="2"/>
      <c r="C70" s="2"/>
      <c r="D70" s="2"/>
      <c r="E70" s="2"/>
      <c r="F70" s="2"/>
      <c r="G70" s="2"/>
      <c r="H70" s="2"/>
      <c r="I70" s="2"/>
      <c r="J70" s="2"/>
      <c r="K70" s="2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</row>
    <row r="71" spans="1:88" hidden="1" x14ac:dyDescent="0.4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</row>
    <row r="72" spans="1:88" hidden="1" x14ac:dyDescent="0.4">
      <c r="A72" s="1"/>
      <c r="B72" s="2"/>
      <c r="C72" s="2"/>
      <c r="D72" s="2"/>
      <c r="E72" s="2"/>
      <c r="F72" s="2"/>
      <c r="G72" s="2"/>
      <c r="H72" s="2"/>
      <c r="I72" s="2"/>
      <c r="J72" s="2"/>
      <c r="K72" s="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</row>
    <row r="73" spans="1:88" hidden="1" x14ac:dyDescent="0.4">
      <c r="A73" s="1"/>
      <c r="B73" s="2"/>
      <c r="C73" s="2"/>
      <c r="D73" s="2"/>
      <c r="E73" s="2"/>
      <c r="F73" s="2"/>
      <c r="G73" s="2"/>
      <c r="H73" s="2"/>
      <c r="I73" s="2"/>
      <c r="J73" s="2"/>
      <c r="K73" s="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</row>
    <row r="74" spans="1:88" hidden="1" x14ac:dyDescent="0.4">
      <c r="A74" s="1"/>
      <c r="B74" s="2"/>
      <c r="C74" s="2"/>
      <c r="D74" s="2"/>
      <c r="E74" s="2"/>
      <c r="F74" s="2"/>
      <c r="G74" s="2"/>
      <c r="H74" s="2"/>
      <c r="I74" s="2"/>
      <c r="J74" s="2"/>
      <c r="K74" s="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</row>
    <row r="75" spans="1:88" hidden="1" x14ac:dyDescent="0.4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</row>
    <row r="76" spans="1:88" hidden="1" x14ac:dyDescent="0.4">
      <c r="A76" s="1"/>
      <c r="B76" s="2"/>
      <c r="C76" s="2"/>
      <c r="D76" s="2"/>
      <c r="E76" s="2"/>
      <c r="F76" s="2"/>
      <c r="G76" s="2"/>
      <c r="H76" s="2"/>
      <c r="I76" s="2"/>
      <c r="J76" s="2"/>
      <c r="K76" s="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</row>
    <row r="77" spans="1:88" hidden="1" x14ac:dyDescent="0.4">
      <c r="A77" s="1"/>
      <c r="B77" s="2"/>
      <c r="C77" s="2"/>
      <c r="D77" s="2"/>
      <c r="E77" s="2"/>
      <c r="F77" s="2"/>
      <c r="G77" s="2"/>
      <c r="H77" s="2"/>
      <c r="I77" s="2"/>
      <c r="J77" s="2"/>
      <c r="K77" s="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</row>
    <row r="78" spans="1:88" hidden="1" x14ac:dyDescent="0.4">
      <c r="A78" s="1"/>
      <c r="B78" s="2"/>
      <c r="C78" s="2"/>
      <c r="D78" s="2"/>
      <c r="E78" s="2"/>
      <c r="F78" s="2"/>
      <c r="G78" s="2"/>
      <c r="H78" s="2"/>
      <c r="I78" s="2"/>
      <c r="J78" s="2"/>
      <c r="K78" s="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</row>
    <row r="79" spans="1:88" hidden="1" x14ac:dyDescent="0.4">
      <c r="A79" s="1"/>
      <c r="B79" s="2"/>
      <c r="C79" s="2"/>
      <c r="D79" s="2"/>
      <c r="E79" s="2"/>
      <c r="F79" s="2"/>
      <c r="G79" s="2"/>
      <c r="H79" s="2"/>
      <c r="I79" s="2"/>
      <c r="J79" s="2"/>
      <c r="K79" s="2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</row>
    <row r="80" spans="1:88" hidden="1" x14ac:dyDescent="0.4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</row>
    <row r="81" spans="1:88" hidden="1" x14ac:dyDescent="0.4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</row>
    <row r="82" spans="1:88" hidden="1" x14ac:dyDescent="0.4">
      <c r="A82" s="1"/>
      <c r="B82" s="2"/>
      <c r="C82" s="2"/>
      <c r="D82" s="2"/>
      <c r="E82" s="2"/>
      <c r="F82" s="2"/>
      <c r="G82" s="2"/>
      <c r="H82" s="2"/>
      <c r="I82" s="2"/>
      <c r="J82" s="2"/>
      <c r="K82" s="2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</row>
    <row r="83" spans="1:88" hidden="1" x14ac:dyDescent="0.4">
      <c r="A83" s="1"/>
      <c r="B83" s="2"/>
      <c r="C83" s="2"/>
      <c r="D83" s="2"/>
      <c r="E83" s="2"/>
      <c r="F83" s="2"/>
      <c r="G83" s="2"/>
      <c r="H83" s="2"/>
      <c r="I83" s="2"/>
      <c r="J83" s="2"/>
      <c r="K83" s="2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</row>
    <row r="84" spans="1:88" hidden="1" x14ac:dyDescent="0.4">
      <c r="A84" s="1"/>
      <c r="B84" s="2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</row>
    <row r="85" spans="1:88" hidden="1" x14ac:dyDescent="0.4">
      <c r="A85" s="1"/>
      <c r="B85" s="2"/>
      <c r="C85" s="2"/>
      <c r="D85" s="2"/>
      <c r="E85" s="2"/>
      <c r="F85" s="2"/>
      <c r="G85" s="2"/>
      <c r="H85" s="2"/>
      <c r="I85" s="2"/>
      <c r="J85" s="2"/>
      <c r="K85" s="2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</row>
    <row r="86" spans="1:88" hidden="1" x14ac:dyDescent="0.4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</row>
    <row r="87" spans="1:88" hidden="1" x14ac:dyDescent="0.4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</row>
    <row r="88" spans="1:88" hidden="1" x14ac:dyDescent="0.4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</row>
    <row r="89" spans="1:88" hidden="1" x14ac:dyDescent="0.4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</row>
    <row r="90" spans="1:88" hidden="1" x14ac:dyDescent="0.4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</row>
    <row r="91" spans="1:88" hidden="1" x14ac:dyDescent="0.4">
      <c r="A91" s="1"/>
      <c r="B91" s="2"/>
      <c r="C91" s="2"/>
      <c r="D91" s="2"/>
      <c r="E91" s="2"/>
      <c r="F91" s="2"/>
      <c r="G91" s="2"/>
      <c r="H91" s="2"/>
      <c r="I91" s="2"/>
      <c r="J91" s="2"/>
      <c r="K91" s="2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</row>
    <row r="92" spans="1:88" hidden="1" x14ac:dyDescent="0.4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</row>
    <row r="93" spans="1:88" hidden="1" x14ac:dyDescent="0.4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</row>
    <row r="94" spans="1:88" hidden="1" x14ac:dyDescent="0.4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</row>
    <row r="95" spans="1:88" hidden="1" x14ac:dyDescent="0.4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</row>
    <row r="96" spans="1:88" hidden="1" x14ac:dyDescent="0.4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</row>
    <row r="97" spans="1:88" hidden="1" x14ac:dyDescent="0.4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</row>
    <row r="98" spans="1:88" hidden="1" x14ac:dyDescent="0.4">
      <c r="A98" s="1"/>
      <c r="B98" s="2"/>
      <c r="C98" s="2"/>
      <c r="D98" s="2"/>
      <c r="E98" s="2"/>
      <c r="F98" s="2"/>
      <c r="G98" s="2"/>
      <c r="H98" s="2"/>
      <c r="I98" s="2"/>
      <c r="J98" s="2"/>
      <c r="K98" s="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</row>
    <row r="99" spans="1:88" hidden="1" x14ac:dyDescent="0.4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</row>
    <row r="100" spans="1:88" hidden="1" x14ac:dyDescent="0.4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</row>
    <row r="101" spans="1:88" hidden="1" x14ac:dyDescent="0.4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</row>
    <row r="102" spans="1:88" hidden="1" x14ac:dyDescent="0.4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</row>
    <row r="103" spans="1:88" hidden="1" x14ac:dyDescent="0.4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</row>
    <row r="104" spans="1:88" hidden="1" x14ac:dyDescent="0.4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</row>
    <row r="105" spans="1:88" hidden="1" x14ac:dyDescent="0.4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</row>
    <row r="106" spans="1:88" hidden="1" x14ac:dyDescent="0.4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</row>
    <row r="107" spans="1:88" hidden="1" x14ac:dyDescent="0.4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</row>
    <row r="108" spans="1:88" hidden="1" x14ac:dyDescent="0.4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</row>
    <row r="109" spans="1:88" hidden="1" x14ac:dyDescent="0.4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</row>
    <row r="110" spans="1:88" hidden="1" x14ac:dyDescent="0.4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</row>
    <row r="111" spans="1:88" hidden="1" x14ac:dyDescent="0.4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</row>
    <row r="112" spans="1:88" hidden="1" x14ac:dyDescent="0.4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</row>
    <row r="113" spans="1:88" hidden="1" x14ac:dyDescent="0.4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</row>
    <row r="114" spans="1:88" hidden="1" x14ac:dyDescent="0.4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</row>
    <row r="115" spans="1:88" hidden="1" x14ac:dyDescent="0.4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</row>
    <row r="116" spans="1:88" hidden="1" x14ac:dyDescent="0.4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</row>
    <row r="117" spans="1:88" hidden="1" x14ac:dyDescent="0.4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</row>
    <row r="118" spans="1:88" hidden="1" x14ac:dyDescent="0.4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</row>
    <row r="119" spans="1:88" hidden="1" x14ac:dyDescent="0.4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</row>
    <row r="120" spans="1:88" hidden="1" x14ac:dyDescent="0.4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</row>
    <row r="121" spans="1:88" hidden="1" x14ac:dyDescent="0.4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</row>
    <row r="122" spans="1:88" hidden="1" x14ac:dyDescent="0.4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</row>
    <row r="123" spans="1:88" hidden="1" x14ac:dyDescent="0.4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</row>
    <row r="124" spans="1:88" hidden="1" x14ac:dyDescent="0.4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</row>
    <row r="125" spans="1:88" hidden="1" x14ac:dyDescent="0.4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</row>
    <row r="126" spans="1:88" hidden="1" x14ac:dyDescent="0.4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</row>
    <row r="127" spans="1:88" hidden="1" x14ac:dyDescent="0.4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</row>
    <row r="128" spans="1:88" hidden="1" x14ac:dyDescent="0.4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</row>
    <row r="129" spans="1:88" hidden="1" x14ac:dyDescent="0.4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</row>
    <row r="130" spans="1:88" hidden="1" x14ac:dyDescent="0.4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</row>
    <row r="131" spans="1:88" hidden="1" x14ac:dyDescent="0.4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</row>
    <row r="132" spans="1:88" hidden="1" x14ac:dyDescent="0.4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</row>
    <row r="133" spans="1:88" hidden="1" x14ac:dyDescent="0.4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</row>
    <row r="134" spans="1:88" hidden="1" x14ac:dyDescent="0.4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</row>
    <row r="135" spans="1:88" hidden="1" x14ac:dyDescent="0.4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</row>
    <row r="136" spans="1:88" hidden="1" x14ac:dyDescent="0.4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</row>
    <row r="137" spans="1:88" hidden="1" x14ac:dyDescent="0.4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</row>
    <row r="138" spans="1:88" hidden="1" x14ac:dyDescent="0.4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</row>
    <row r="139" spans="1:88" hidden="1" x14ac:dyDescent="0.4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</row>
    <row r="140" spans="1:88" hidden="1" x14ac:dyDescent="0.4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</row>
    <row r="141" spans="1:88" hidden="1" x14ac:dyDescent="0.4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</row>
    <row r="142" spans="1:88" hidden="1" x14ac:dyDescent="0.4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</row>
    <row r="143" spans="1:88" hidden="1" x14ac:dyDescent="0.4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</row>
    <row r="144" spans="1:88" hidden="1" x14ac:dyDescent="0.4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</row>
    <row r="145" spans="1:88" hidden="1" x14ac:dyDescent="0.4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</row>
    <row r="146" spans="1:88" hidden="1" x14ac:dyDescent="0.4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</row>
    <row r="147" spans="1:88" hidden="1" x14ac:dyDescent="0.4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</row>
    <row r="148" spans="1:88" hidden="1" x14ac:dyDescent="0.4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</row>
    <row r="149" spans="1:88" hidden="1" x14ac:dyDescent="0.4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</row>
    <row r="150" spans="1:88" hidden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</row>
    <row r="151" spans="1:88" hidden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</row>
    <row r="152" spans="1:88" hidden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</row>
    <row r="153" spans="1:88" hidden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</row>
    <row r="154" spans="1:88" hidden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</row>
    <row r="155" spans="1:88" hidden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</row>
    <row r="156" spans="1:88" hidden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</row>
    <row r="157" spans="1:88" hidden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</row>
    <row r="158" spans="1:88" hidden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</row>
    <row r="159" spans="1:88" hidden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</row>
    <row r="160" spans="1:88" hidden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</row>
    <row r="161" spans="1:88" hidden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</row>
    <row r="162" spans="1:88" hidden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</row>
    <row r="163" spans="1:88" hidden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</row>
    <row r="164" spans="1:88" hidden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</row>
    <row r="165" spans="1:88" hidden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</row>
    <row r="166" spans="1:88" hidden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</row>
    <row r="167" spans="1:88" hidden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</row>
    <row r="168" spans="1:88" hidden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</row>
    <row r="169" spans="1:88" hidden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</row>
    <row r="170" spans="1:88" hidden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</row>
    <row r="171" spans="1:88" hidden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</row>
    <row r="172" spans="1:88" hidden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</row>
    <row r="173" spans="1:88" hidden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</row>
    <row r="174" spans="1:88" hidden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</row>
    <row r="175" spans="1:88" hidden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</row>
    <row r="176" spans="1:88" hidden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</row>
    <row r="177" spans="1:88" hidden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</row>
    <row r="178" spans="1:88" hidden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</row>
    <row r="179" spans="1:88" hidden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</row>
    <row r="180" spans="1:88" hidden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</row>
    <row r="181" spans="1:88" hidden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</row>
    <row r="182" spans="1:88" hidden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</row>
    <row r="183" spans="1:88" hidden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</row>
    <row r="184" spans="1:88" hidden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</row>
    <row r="185" spans="1:88" hidden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</row>
    <row r="186" spans="1:88" hidden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</row>
    <row r="187" spans="1:88" hidden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</row>
    <row r="188" spans="1:88" hidden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</row>
    <row r="189" spans="1:88" hidden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</row>
    <row r="190" spans="1:88" hidden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</row>
    <row r="191" spans="1:88" hidden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</row>
    <row r="192" spans="1:88" hidden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</row>
    <row r="193" spans="1:88" hidden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</row>
    <row r="194" spans="1:88" hidden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</row>
    <row r="195" spans="1:88" hidden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</row>
    <row r="196" spans="1:88" hidden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</row>
    <row r="197" spans="1:88" hidden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</row>
    <row r="198" spans="1:88" hidden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</row>
    <row r="199" spans="1:88" hidden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</row>
    <row r="200" spans="1:88" hidden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</row>
    <row r="201" spans="1:88" hidden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</row>
    <row r="202" spans="1:88" hidden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</row>
    <row r="203" spans="1:88" hidden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</row>
    <row r="204" spans="1:88" hidden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</row>
    <row r="205" spans="1:88" hidden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</row>
    <row r="206" spans="1:88" hidden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</row>
    <row r="207" spans="1:88" hidden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</row>
    <row r="208" spans="1:88" hidden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</row>
    <row r="209" spans="1:88" hidden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</row>
    <row r="210" spans="1:88" hidden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</row>
    <row r="211" spans="1:88" hidden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</row>
    <row r="212" spans="1:88" hidden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</row>
    <row r="213" spans="1:88" hidden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</row>
    <row r="214" spans="1:88" hidden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</row>
    <row r="215" spans="1:88" hidden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</row>
    <row r="216" spans="1:88" hidden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</row>
    <row r="217" spans="1:88" hidden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</row>
    <row r="218" spans="1:88" hidden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</row>
    <row r="219" spans="1:88" hidden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</row>
    <row r="220" spans="1:88" hidden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</row>
    <row r="221" spans="1:88" hidden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</row>
    <row r="222" spans="1:88" hidden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</row>
    <row r="223" spans="1:88" hidden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</row>
    <row r="224" spans="1:88" hidden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</row>
    <row r="225" spans="1:88" hidden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</row>
    <row r="226" spans="1:88" hidden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</row>
    <row r="227" spans="1:88" hidden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</row>
    <row r="228" spans="1:88" hidden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</row>
    <row r="229" spans="1:88" hidden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</row>
    <row r="230" spans="1:88" hidden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</row>
    <row r="231" spans="1:88" hidden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</row>
    <row r="232" spans="1:88" hidden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</row>
    <row r="233" spans="1:88" hidden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</row>
    <row r="234" spans="1:88" hidden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</row>
    <row r="235" spans="1:88" hidden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</row>
    <row r="236" spans="1:88" hidden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</row>
    <row r="237" spans="1:88" hidden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</row>
    <row r="238" spans="1:88" hidden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</row>
    <row r="239" spans="1:88" hidden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</row>
    <row r="240" spans="1:88" hidden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</row>
    <row r="241" spans="1:88" hidden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</row>
    <row r="242" spans="1:88" hidden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</row>
    <row r="243" spans="1:88" hidden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</row>
    <row r="244" spans="1:88" hidden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</row>
    <row r="245" spans="1:88" hidden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</row>
    <row r="246" spans="1:88" hidden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</row>
    <row r="247" spans="1:88" hidden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</row>
    <row r="248" spans="1:88" hidden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</row>
    <row r="249" spans="1:88" hidden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</row>
    <row r="250" spans="1:88" hidden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</row>
    <row r="251" spans="1:88" hidden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</row>
    <row r="252" spans="1:88" hidden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</row>
    <row r="253" spans="1:88" hidden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</row>
    <row r="254" spans="1:88" hidden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</row>
    <row r="255" spans="1:88" hidden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</row>
    <row r="256" spans="1:88" hidden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</row>
    <row r="257" spans="1:88" hidden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</row>
    <row r="258" spans="1:88" hidden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</row>
    <row r="259" spans="1:88" hidden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</row>
    <row r="260" spans="1:88" hidden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</row>
    <row r="261" spans="1:88" hidden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</row>
    <row r="262" spans="1:88" hidden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</row>
    <row r="263" spans="1:88" hidden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</row>
    <row r="264" spans="1:88" hidden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</row>
    <row r="265" spans="1:88" hidden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</row>
    <row r="266" spans="1:88" hidden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</row>
    <row r="267" spans="1:88" hidden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</row>
    <row r="268" spans="1:88" hidden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</row>
    <row r="269" spans="1:88" hidden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</row>
    <row r="270" spans="1:88" hidden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</row>
    <row r="271" spans="1:88" hidden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</row>
    <row r="272" spans="1:88" hidden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</row>
    <row r="273" spans="1:88" hidden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</row>
    <row r="274" spans="1:88" hidden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</row>
    <row r="275" spans="1:88" hidden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</row>
    <row r="276" spans="1:88" hidden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</row>
    <row r="277" spans="1:88" hidden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</row>
    <row r="278" spans="1:88" hidden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</row>
    <row r="279" spans="1:88" hidden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</row>
    <row r="280" spans="1:88" hidden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</row>
    <row r="281" spans="1:88" hidden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</row>
    <row r="282" spans="1:88" hidden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</row>
    <row r="283" spans="1:88" hidden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</row>
    <row r="284" spans="1:88" hidden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</row>
    <row r="285" spans="1:88" hidden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</row>
    <row r="286" spans="1:88" hidden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</row>
    <row r="287" spans="1:88" hidden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</row>
    <row r="288" spans="1:88" hidden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</row>
    <row r="289" spans="1:88" hidden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</row>
    <row r="290" spans="1:88" hidden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</row>
    <row r="291" spans="1:88" hidden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</row>
    <row r="292" spans="1:88" hidden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</row>
    <row r="293" spans="1:88" hidden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</row>
    <row r="294" spans="1:88" hidden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</row>
    <row r="295" spans="1:88" hidden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</row>
    <row r="296" spans="1:88" hidden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</row>
    <row r="297" spans="1:88" hidden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</row>
    <row r="298" spans="1:88" hidden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</row>
    <row r="299" spans="1:88" hidden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</row>
    <row r="300" spans="1:88" hidden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</row>
    <row r="301" spans="1:88" hidden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</row>
    <row r="302" spans="1:88" hidden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</row>
    <row r="303" spans="1:88" hidden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</row>
    <row r="304" spans="1:88" hidden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</row>
    <row r="305" spans="1:88" hidden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</row>
    <row r="306" spans="1:88" hidden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</row>
    <row r="307" spans="1:88" hidden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</row>
    <row r="308" spans="1:88" hidden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</row>
    <row r="309" spans="1:88" hidden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</row>
    <row r="310" spans="1:88" hidden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</row>
    <row r="311" spans="1:88" hidden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</row>
    <row r="312" spans="1:88" hidden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</row>
    <row r="313" spans="1:88" hidden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</row>
    <row r="314" spans="1:88" hidden="1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</row>
    <row r="315" spans="1:88" hidden="1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</row>
    <row r="316" spans="1:88" hidden="1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</row>
    <row r="317" spans="1:88" hidden="1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</row>
    <row r="318" spans="1:88" hidden="1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</row>
    <row r="319" spans="1:88" hidden="1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</row>
    <row r="320" spans="1:88" hidden="1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</row>
    <row r="321" spans="1:88" hidden="1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</row>
    <row r="322" spans="1:88" hidden="1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</row>
    <row r="323" spans="1:88" hidden="1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</row>
    <row r="324" spans="1:88" hidden="1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</row>
    <row r="325" spans="1:88" hidden="1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</row>
    <row r="326" spans="1:88" hidden="1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</row>
    <row r="327" spans="1:88" hidden="1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</row>
    <row r="328" spans="1:88" hidden="1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</row>
    <row r="329" spans="1:88" hidden="1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</row>
    <row r="330" spans="1:88" hidden="1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</row>
    <row r="331" spans="1:88" hidden="1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</row>
    <row r="332" spans="1:88" hidden="1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</row>
    <row r="333" spans="1:88" hidden="1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</row>
    <row r="334" spans="1:88" hidden="1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</row>
    <row r="335" spans="1:88" hidden="1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</row>
    <row r="336" spans="1:88" hidden="1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</row>
    <row r="337" spans="1:88" hidden="1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</row>
    <row r="338" spans="1:88" hidden="1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</row>
    <row r="339" spans="1:88" hidden="1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</row>
    <row r="340" spans="1:88" hidden="1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</row>
    <row r="341" spans="1:88" hidden="1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</row>
    <row r="342" spans="1:88" hidden="1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</row>
    <row r="343" spans="1:88" hidden="1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</row>
    <row r="344" spans="1:88" hidden="1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</row>
    <row r="345" spans="1:88" hidden="1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</row>
    <row r="346" spans="1:88" hidden="1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</row>
    <row r="347" spans="1:88" hidden="1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</row>
    <row r="348" spans="1:88" hidden="1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</row>
    <row r="349" spans="1:88" hidden="1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</row>
    <row r="350" spans="1:88" hidden="1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</row>
    <row r="351" spans="1:88" hidden="1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</row>
    <row r="352" spans="1:88" hidden="1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</row>
    <row r="353" spans="1:88" hidden="1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</row>
    <row r="354" spans="1:88" hidden="1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</row>
    <row r="355" spans="1:88" hidden="1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</row>
    <row r="356" spans="1:88" hidden="1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88" hidden="1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88" hidden="1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88" hidden="1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88" hidden="1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</sheetData>
  <sheetProtection selectLockedCells="1"/>
  <mergeCells count="18">
    <mergeCell ref="J4:K4"/>
    <mergeCell ref="J11:K11"/>
    <mergeCell ref="B55:B56"/>
    <mergeCell ref="J55:K55"/>
    <mergeCell ref="J5:K5"/>
    <mergeCell ref="J6:K6"/>
    <mergeCell ref="J7:K7"/>
    <mergeCell ref="B4:B5"/>
    <mergeCell ref="B47:B48"/>
    <mergeCell ref="J47:K47"/>
    <mergeCell ref="J21:K21"/>
    <mergeCell ref="B21:B22"/>
    <mergeCell ref="B25:K25"/>
    <mergeCell ref="B28:B29"/>
    <mergeCell ref="J28:K28"/>
    <mergeCell ref="B33:B34"/>
    <mergeCell ref="J33:K33"/>
    <mergeCell ref="B11:B12"/>
  </mergeCells>
  <dataValidations count="6">
    <dataValidation type="custom" allowBlank="1" showInputMessage="1" showErrorMessage="1" errorTitle="Erro" error="Não introduzir dados nesta célula" sqref="B63" xr:uid="{D6ABC812-CC4E-46D1-8954-CD799F8D28E4}">
      <formula1>"&lt;&gt;"""""</formula1>
    </dataValidation>
    <dataValidation type="custom" allowBlank="1" showInputMessage="1" errorTitle="Erro" error="Não introduzir dados nesta célula" sqref="C62:I62" xr:uid="{4CF83E6C-6CE3-4271-8449-C6E7FE733104}">
      <formula1>"&lt;&gt;"""""</formula1>
    </dataValidation>
    <dataValidation type="decimal" operator="greaterThanOrEqual" allowBlank="1" showInputMessage="1" showErrorMessage="1" error="Introduzir número igual ou superior a zero_x000a_" sqref="C13:I17" xr:uid="{08217D2E-6A99-42A4-80F3-12ECC7EE7FF9}">
      <formula1>0</formula1>
    </dataValidation>
    <dataValidation type="decimal" operator="greaterThanOrEqual" allowBlank="1" showInputMessage="1" showErrorMessage="1" error="Introduzir número positivo" sqref="C23:I23" xr:uid="{05685B96-2A26-415E-8C28-A2F39394857C}">
      <formula1>0</formula1>
    </dataValidation>
    <dataValidation type="decimal" operator="greaterThanOrEqual" allowBlank="1" showInputMessage="1" showErrorMessage="1" error="Introduzir número positivo_x000a_" sqref="C30:I30" xr:uid="{9996FF01-DDE8-44DF-8111-DE6A51573A6A}">
      <formula1>0</formula1>
    </dataValidation>
    <dataValidation type="decimal" operator="greaterThanOrEqual" allowBlank="1" showInputMessage="1" showErrorMessage="1" error="Introduzir n.º positivo" sqref="C35:I42" xr:uid="{B5AEED0B-29AD-4F8F-B53E-80A73D7830EF}">
      <formula1>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2570-27A9-44C3-AF84-9DF3ADDEF6F4}">
  <sheetPr>
    <tabColor theme="4" tint="0.59999389629810485"/>
  </sheetPr>
  <dimension ref="A1:W75"/>
  <sheetViews>
    <sheetView topLeftCell="A12" workbookViewId="0">
      <selection activeCell="E11" sqref="E11"/>
    </sheetView>
  </sheetViews>
  <sheetFormatPr defaultColWidth="0" defaultRowHeight="14.6" zeroHeight="1" x14ac:dyDescent="0.4"/>
  <cols>
    <col min="1" max="1" width="9.15234375" customWidth="1"/>
    <col min="2" max="2" width="23.53515625" customWidth="1"/>
    <col min="3" max="3" width="47" customWidth="1"/>
    <col min="4" max="4" width="46.69140625" customWidth="1"/>
    <col min="5" max="6" width="14" bestFit="1" customWidth="1"/>
    <col min="7" max="7" width="14.3828125" customWidth="1"/>
    <col min="8" max="11" width="14" bestFit="1" customWidth="1"/>
    <col min="12" max="12" width="9.15234375" customWidth="1"/>
    <col min="13" max="14" width="9.15234375" hidden="1" customWidth="1"/>
    <col min="15" max="23" width="0" hidden="1" customWidth="1"/>
    <col min="24" max="16384" width="9.15234375" hidden="1"/>
  </cols>
  <sheetData>
    <row r="1" spans="1:23" ht="42" customHeight="1" x14ac:dyDescent="0.4">
      <c r="A1" s="1"/>
      <c r="B1" s="76"/>
      <c r="C1" s="76"/>
      <c r="D1" s="76"/>
      <c r="E1" s="76"/>
      <c r="F1" s="76"/>
      <c r="G1" s="76"/>
      <c r="H1" s="76"/>
      <c r="I1" s="76"/>
      <c r="J1" s="76"/>
      <c r="K1" s="7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4">
      <c r="A2" s="1"/>
      <c r="B2" s="76"/>
      <c r="C2" s="76"/>
      <c r="D2" s="76"/>
      <c r="E2" s="76"/>
      <c r="F2" s="76"/>
      <c r="G2" s="76"/>
      <c r="H2" s="76"/>
      <c r="I2" s="76"/>
      <c r="J2" s="76"/>
      <c r="K2" s="2" t="s">
        <v>261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x14ac:dyDescent="0.4">
      <c r="A3" s="1"/>
      <c r="B3" s="599" t="s">
        <v>351</v>
      </c>
      <c r="C3" s="599"/>
      <c r="D3" s="599" t="s">
        <v>262</v>
      </c>
      <c r="E3" s="127">
        <v>2024</v>
      </c>
      <c r="F3" s="127">
        <v>2025</v>
      </c>
      <c r="G3" s="127">
        <v>2026</v>
      </c>
      <c r="H3" s="127">
        <v>2026</v>
      </c>
      <c r="I3" s="127">
        <v>2027</v>
      </c>
      <c r="J3" s="127">
        <v>2028</v>
      </c>
      <c r="K3" s="127">
        <v>2029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x14ac:dyDescent="0.4">
      <c r="A4" s="1"/>
      <c r="B4" s="599"/>
      <c r="C4" s="599"/>
      <c r="D4" s="599"/>
      <c r="E4" s="127" t="s">
        <v>77</v>
      </c>
      <c r="F4" s="127" t="s">
        <v>77</v>
      </c>
      <c r="G4" s="127" t="s">
        <v>78</v>
      </c>
      <c r="H4" s="127" t="s">
        <v>368</v>
      </c>
      <c r="I4" s="127" t="s">
        <v>79</v>
      </c>
      <c r="J4" s="127" t="s">
        <v>79</v>
      </c>
      <c r="K4" s="127" t="s">
        <v>79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4">
      <c r="A5" s="1"/>
      <c r="B5" s="641" t="s">
        <v>286</v>
      </c>
      <c r="C5" s="192" t="s">
        <v>287</v>
      </c>
      <c r="D5" s="139" t="s">
        <v>276</v>
      </c>
      <c r="E5" s="177" t="str">
        <f>IFERROR(GO_2024/EBITDA_2024,"")</f>
        <v/>
      </c>
      <c r="F5" s="177" t="str">
        <f>IFERROR(GO_2025/EBITDA_2025,"")</f>
        <v/>
      </c>
      <c r="G5" s="177" t="str">
        <f>IFERROR(GO_PAO2026/EBITDA_2026PAO,"")</f>
        <v/>
      </c>
      <c r="H5" s="177" t="str">
        <f>IFERROR(GO_2026E/EBITDA_2026PAO,"")</f>
        <v/>
      </c>
      <c r="I5" s="177" t="str">
        <f>IFERROR(GO_2027/EBITDA_2027,"")</f>
        <v/>
      </c>
      <c r="J5" s="177" t="str">
        <f>IFERROR(GO_2028/EBITDA_2028,"")</f>
        <v/>
      </c>
      <c r="K5" s="177" t="str">
        <f>IFERROR(GO_2029/EBITDA_2029,"")</f>
        <v/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9.5" customHeight="1" x14ac:dyDescent="0.4">
      <c r="A6" s="1"/>
      <c r="B6" s="641"/>
      <c r="C6" s="192" t="s">
        <v>288</v>
      </c>
      <c r="D6" s="139" t="s">
        <v>277</v>
      </c>
      <c r="E6" s="177" t="str">
        <f>IFERROR((-GASTOS_PESSOAL_2024)/EBITDA_2024,"")</f>
        <v/>
      </c>
      <c r="F6" s="177" t="str">
        <f>IFERROR((-GASTOS_PESSOAL_2025)/EBITDA_2025,"")</f>
        <v/>
      </c>
      <c r="G6" s="177" t="str">
        <f>IFERROR((-GASTOS_PESSOAL_2026PAO)/EBITDA_2026PAO,"")</f>
        <v/>
      </c>
      <c r="H6" s="177" t="str">
        <f>IFERROR((-GASTOS_PESSOAL_2026E)/EBITDA_2026E,"")</f>
        <v/>
      </c>
      <c r="I6" s="177" t="str">
        <f>IFERROR((-GASTOS_PESSOAL_2027)/EBITDA_2027,"")</f>
        <v/>
      </c>
      <c r="J6" s="177" t="str">
        <f>IFERROR((-GASTOS_PESSOAL_2028)/EBITDA_2028,"")</f>
        <v/>
      </c>
      <c r="K6" s="177" t="str">
        <f>IFERROR((-GASTOS_PESSOAL_2029)/EBITDA_2029,"")</f>
        <v/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9.5" customHeight="1" x14ac:dyDescent="0.4">
      <c r="A7" s="1"/>
      <c r="B7" s="641"/>
      <c r="C7" s="192" t="s">
        <v>289</v>
      </c>
      <c r="D7" s="139" t="s">
        <v>278</v>
      </c>
      <c r="E7" s="177" t="str">
        <f>IFERROR((-CMVMC_2024)/EBITDA_2024,"")</f>
        <v/>
      </c>
      <c r="F7" s="177" t="str">
        <f>IFERROR((-CMVMC_2025)/EBITDA_2025,"")</f>
        <v/>
      </c>
      <c r="G7" s="177" t="str">
        <f>IFERROR((-CMVMC_2026PAO)/EBITDA_2026PAO,"")</f>
        <v/>
      </c>
      <c r="H7" s="177" t="str">
        <f>IFERROR((-CMVMC_2026E)/EBITDA_2026E,"")</f>
        <v/>
      </c>
      <c r="I7" s="177" t="str">
        <f>IFERROR((-CMVMC_2027)/EBITDA_2027,"")</f>
        <v/>
      </c>
      <c r="J7" s="177" t="str">
        <f>IFERROR((-CMVMC_2028)/EBITDA_2028,"")</f>
        <v/>
      </c>
      <c r="K7" s="177" t="str">
        <f>IFERROR((-CMVMC_2029)/EBITDA_2029,"")</f>
        <v/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3.25" customHeight="1" x14ac:dyDescent="0.4">
      <c r="A8" s="1"/>
      <c r="B8" s="641"/>
      <c r="C8" s="192" t="s">
        <v>290</v>
      </c>
      <c r="D8" s="139" t="s">
        <v>279</v>
      </c>
      <c r="E8" s="177" t="str">
        <f>IFERROR((-FSE_2024)/EBITDA_2024,"")</f>
        <v/>
      </c>
      <c r="F8" s="177" t="str">
        <f>IFERROR((-FSE_2025)/EBITDA_2025,"")</f>
        <v/>
      </c>
      <c r="G8" s="177" t="str">
        <f>IFERROR((-FSE_2026PAO)/EBITDA_2026PAO,"")</f>
        <v/>
      </c>
      <c r="H8" s="177" t="str">
        <f>IFERROR((-FSE_2026E)/EBITDA_2026E,"")</f>
        <v/>
      </c>
      <c r="I8" s="177" t="str">
        <f>IFERROR((-FSE_2027)/EBITDA_2027,"")</f>
        <v/>
      </c>
      <c r="J8" s="177" t="str">
        <f>IFERROR((-FSE_2028)/EBITDA_2028,"")</f>
        <v/>
      </c>
      <c r="K8" s="177" t="str">
        <f>IFERROR((-FSE_2029)/EBITDA_2029,"")</f>
        <v/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9.25" customHeight="1" x14ac:dyDescent="0.4">
      <c r="A9" s="1"/>
      <c r="B9" s="641" t="s">
        <v>280</v>
      </c>
      <c r="C9" s="192" t="s">
        <v>295</v>
      </c>
      <c r="D9" s="139" t="s">
        <v>294</v>
      </c>
      <c r="E9" s="177" t="str">
        <f>IFERROR((FO_PC_2024+FO_PNC_2024)/PATRIMÓNIO_LÍQUIDO_2024,"")</f>
        <v/>
      </c>
      <c r="F9" s="177" t="str">
        <f>IFERROR((FO_PC_2025+FO_PNC_2025)/PATRIMÓNIO_LÍQUIDO_2025,"")</f>
        <v/>
      </c>
      <c r="G9" s="177" t="str">
        <f>IFERROR((FO_PC_2026PAO+FO_PNC_2026PAO)/PATRIMÓNIO_LÍQUIDO_2026PAO,"")</f>
        <v/>
      </c>
      <c r="H9" s="177" t="str">
        <f>IFERROR((FO_PC_2026E+FO_PNC_2026E)/PATRIMÓNIO_LÍQUIDO_2026E,"")</f>
        <v/>
      </c>
      <c r="I9" s="177" t="str">
        <f>IFERROR((FO_PC_2027+FO_PNC_2027)/PATRIMÓNIO_LÍQUIDO_2027,"")</f>
        <v/>
      </c>
      <c r="J9" s="177" t="str">
        <f>IFERROR((FO_PC_2028+FO_PNC_2028)/PATRIMÓNIO_LÍQUIDO_2028,"")</f>
        <v/>
      </c>
      <c r="K9" s="177" t="str">
        <f>IFERROR((FO_PC_2029+FO_PNC_2029)/PATRIMÓNIO_LÍQUIDO_2029,"")</f>
        <v/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9.25" customHeight="1" x14ac:dyDescent="0.4">
      <c r="A10" s="1"/>
      <c r="B10" s="641"/>
      <c r="C10" s="140" t="s">
        <v>296</v>
      </c>
      <c r="D10" s="139" t="s">
        <v>292</v>
      </c>
      <c r="E10" s="177" t="str">
        <f>IFERROR(EBITDA_2024/(-DR!D29),"")</f>
        <v/>
      </c>
      <c r="F10" s="177" t="str">
        <f>IFERROR(EBITDA_2025/(-DR!E29),"")</f>
        <v/>
      </c>
      <c r="G10" s="177" t="str">
        <f>IFERROR(EBITDA_2026PAO/(-DR!F29),"")</f>
        <v/>
      </c>
      <c r="H10" s="177" t="str">
        <f>IFERROR(EBITDA_2026E/(-DR!G29),"")</f>
        <v/>
      </c>
      <c r="I10" s="177" t="str">
        <f>IFERROR(EBITDA_2027/(-DR!K29),"")</f>
        <v/>
      </c>
      <c r="J10" s="177" t="str">
        <f>IFERROR(EBITDA_2028/(-DR!L29),"")</f>
        <v/>
      </c>
      <c r="K10" s="177" t="str">
        <f>IFERROR(EBITDA_2029/(-DR!M29),"")</f>
        <v/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9.25" customHeight="1" x14ac:dyDescent="0.4">
      <c r="A11" s="1"/>
      <c r="B11" s="641"/>
      <c r="C11" s="192" t="s">
        <v>291</v>
      </c>
      <c r="D11" s="139" t="s">
        <v>272</v>
      </c>
      <c r="E11" s="177" t="str">
        <f>IFERROR(PASSIVO_2024/Ativo_2024,"")</f>
        <v/>
      </c>
      <c r="F11" s="177" t="str">
        <f>IFERROR(PASSIVO_2025/ATIVO_2025,"")</f>
        <v/>
      </c>
      <c r="G11" s="177" t="str">
        <f>IFERROR(PASSIVO_2026PAO/ATIVO_2026PAO,"")</f>
        <v/>
      </c>
      <c r="H11" s="177" t="str">
        <f>IFERROR(PASSIVO_2026E/ATIVO_2026E,"")</f>
        <v/>
      </c>
      <c r="I11" s="177" t="str">
        <f>IFERROR(PASSIVO_2027/ATIVO_2027,"")</f>
        <v/>
      </c>
      <c r="J11" s="177" t="str">
        <f>IFERROR(PASSIVO_2028/ATIVO_2028,"")</f>
        <v/>
      </c>
      <c r="K11" s="177" t="str">
        <f>IFERROR(PASSIVO_2029/ATIVO_2029,"")</f>
        <v/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9.25" customHeight="1" x14ac:dyDescent="0.4">
      <c r="A12" s="1"/>
      <c r="B12" s="641"/>
      <c r="C12" s="140" t="s">
        <v>281</v>
      </c>
      <c r="D12" s="139" t="s">
        <v>293</v>
      </c>
      <c r="E12" s="178"/>
      <c r="F12" s="178"/>
      <c r="G12" s="178"/>
      <c r="H12" s="178"/>
      <c r="I12" s="178"/>
      <c r="J12" s="178"/>
      <c r="K12" s="17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8.5" customHeight="1" x14ac:dyDescent="0.4">
      <c r="A13" s="1"/>
      <c r="B13" s="641"/>
      <c r="C13" s="140" t="s">
        <v>283</v>
      </c>
      <c r="D13" s="139" t="s">
        <v>284</v>
      </c>
      <c r="E13" s="178"/>
      <c r="F13" s="178"/>
      <c r="G13" s="178"/>
      <c r="H13" s="178"/>
      <c r="I13" s="178"/>
      <c r="J13" s="178"/>
      <c r="K13" s="17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2.5" customHeight="1" x14ac:dyDescent="0.4">
      <c r="A14" s="1"/>
      <c r="B14" s="642" t="s">
        <v>282</v>
      </c>
      <c r="C14" s="138" t="s">
        <v>263</v>
      </c>
      <c r="D14" s="139" t="s">
        <v>269</v>
      </c>
      <c r="E14" s="177" t="str">
        <f>IFERROR(EBITDA_2024/VN_2024,"")</f>
        <v/>
      </c>
      <c r="F14" s="177" t="str">
        <f>IFERROR(EBITDA_2025/VN_2025,"")</f>
        <v/>
      </c>
      <c r="G14" s="177" t="str">
        <f>IFERROR(EBITDA_2026PAO/VN_2026PAO,"")</f>
        <v/>
      </c>
      <c r="H14" s="177" t="str">
        <f>IFERROR(EBITDA_2026E/VN_2026E,"")</f>
        <v/>
      </c>
      <c r="I14" s="177" t="str">
        <f>IFERROR(EBITDA_2027/VN_2027,"")</f>
        <v/>
      </c>
      <c r="J14" s="177" t="str">
        <f>IFERROR(EBITDA_2028/VN_2028,"")</f>
        <v/>
      </c>
      <c r="K14" s="177" t="str">
        <f>IFERROR(EBITDA_2029/VN_2029,"")</f>
        <v/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2.5" customHeight="1" x14ac:dyDescent="0.4">
      <c r="A15" s="1"/>
      <c r="B15" s="643"/>
      <c r="C15" s="138" t="s">
        <v>264</v>
      </c>
      <c r="D15" s="139" t="s">
        <v>270</v>
      </c>
      <c r="E15" s="179" t="str">
        <f>IFERROR(EBIT_2024/Ativo_2024,"")</f>
        <v/>
      </c>
      <c r="F15" s="179" t="str">
        <f>IFERROR(EBIT_2025/ATIVO_2025,"")</f>
        <v/>
      </c>
      <c r="G15" s="179" t="str">
        <f>IFERROR(EBIT_2026PAO/ATIVO_2026PAO,"")</f>
        <v/>
      </c>
      <c r="H15" s="179" t="str">
        <f>IFERROR(EBIT_2026E/ATIVO_2026E,"")</f>
        <v/>
      </c>
      <c r="I15" s="179" t="str">
        <f>IFERROR(EBIT_2027/ATIVO_2027,"")</f>
        <v/>
      </c>
      <c r="J15" s="179" t="str">
        <f>IFERROR(EBIT_2028/ATIVO_2028,"")</f>
        <v/>
      </c>
      <c r="K15" s="179" t="str">
        <f>IFERROR(EBIT_2029/ATIVO_2029,"")</f>
        <v/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2.5" customHeight="1" x14ac:dyDescent="0.4">
      <c r="A16" s="1"/>
      <c r="B16" s="643"/>
      <c r="C16" s="138" t="s">
        <v>265</v>
      </c>
      <c r="D16" s="139" t="s">
        <v>271</v>
      </c>
      <c r="E16" s="179" t="str">
        <f>IFERROR(RL_2024/PATRIMÓNIO_LÍQUIDO_2024,"")</f>
        <v/>
      </c>
      <c r="F16" s="179" t="str">
        <f>IFERROR(RL_2025/PATRIMÓNIO_LÍQUIDO_2025,"")</f>
        <v/>
      </c>
      <c r="G16" s="179" t="str">
        <f>IFERROR(RL_2026PAO/PATRIMÓNIO_LÍQUIDO_2026PAO,"")</f>
        <v/>
      </c>
      <c r="H16" s="179" t="str">
        <f>IFERROR(RL_2026E/PATRIMÓNIO_LÍQUIDO_2026E,"")</f>
        <v/>
      </c>
      <c r="I16" s="179" t="str">
        <f>IFERROR(RL_2027/PATRIMÓNIO_LÍQUIDO_2027,"")</f>
        <v/>
      </c>
      <c r="J16" s="179" t="str">
        <f>IFERROR(RL_2028/PATRIMÓNIO_LÍQUIDO_2028,"")</f>
        <v/>
      </c>
      <c r="K16" s="179" t="str">
        <f>IFERROR(RL_2029/PATRIMÓNIO_LÍQUIDO_2029,"")</f>
        <v/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2.5" customHeight="1" x14ac:dyDescent="0.4">
      <c r="A17" s="1"/>
      <c r="B17" s="644"/>
      <c r="C17" s="138" t="s">
        <v>268</v>
      </c>
      <c r="D17" s="139" t="s">
        <v>275</v>
      </c>
      <c r="E17" s="208" t="str">
        <f>IFERROR((EBIT_2024/'Quadro RH1'!C5),"")</f>
        <v/>
      </c>
      <c r="F17" s="208" t="str">
        <f>IFERROR((EBIT_2025/'Quadro RH1'!D5),"")</f>
        <v/>
      </c>
      <c r="G17" s="208" t="str">
        <f>IFERROR((EBIT_2026PAO/'Quadro RH1'!E5),"")</f>
        <v/>
      </c>
      <c r="H17" s="208" t="str">
        <f>IFERROR((EBIT_2026E/'Quadro RH1'!F5),"")</f>
        <v/>
      </c>
      <c r="I17" s="208" t="str">
        <f>IFERROR((EBIT_2027/'Quadro RH1'!G5),"")</f>
        <v/>
      </c>
      <c r="J17" s="208" t="str">
        <f>IFERROR((EBIT_2028/'Quadro RH1'!H5),"")</f>
        <v/>
      </c>
      <c r="K17" s="208" t="str">
        <f>IFERROR((EBIT_2029/'Quadro RH1'!I5),"")</f>
        <v/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4" customHeight="1" x14ac:dyDescent="0.4">
      <c r="A18" s="1"/>
      <c r="B18" s="638" t="s">
        <v>285</v>
      </c>
      <c r="C18" s="138" t="s">
        <v>266</v>
      </c>
      <c r="D18" s="139" t="s">
        <v>273</v>
      </c>
      <c r="E18" s="179" t="str">
        <f>IFERROR(PATRIMÓNIO_LÍQUIDO_2024/Ativo_2024,"")</f>
        <v/>
      </c>
      <c r="F18" s="179" t="str">
        <f>IFERROR(PATRIMÓNIO_LÍQUIDO_2025/ATIVO_2025,"")</f>
        <v/>
      </c>
      <c r="G18" s="179" t="str">
        <f>IFERROR(PATRIMÓNIO_LÍQUIDO_2026PAO/ATIVO_2026PAO,"")</f>
        <v/>
      </c>
      <c r="H18" s="179" t="str">
        <f>IFERROR(PATRIMÓNIO_LÍQUIDO_2026E/ATIVO_2026E,"")</f>
        <v/>
      </c>
      <c r="I18" s="179" t="str">
        <f>IFERROR(PATRIMÓNIO_LÍQUIDO_2027/ATIVO_2027,"")</f>
        <v/>
      </c>
      <c r="J18" s="179" t="str">
        <f>IFERROR(PATRIMÓNIO_LÍQUIDO_2028/ATIVO_2028,"")</f>
        <v/>
      </c>
      <c r="K18" s="179" t="str">
        <f>IFERROR(PATRIMÓNIO_LÍQUIDO_2029/ATIVO_2029,"")</f>
        <v/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6.25" customHeight="1" x14ac:dyDescent="0.4">
      <c r="A19" s="1"/>
      <c r="B19" s="639"/>
      <c r="C19" s="138" t="s">
        <v>267</v>
      </c>
      <c r="D19" s="139" t="s">
        <v>274</v>
      </c>
      <c r="E19" s="179" t="str">
        <f>IFERROR(ATIVO_CORRENTE_2024/PASSIVO_CORRENTE_2024,"")</f>
        <v/>
      </c>
      <c r="F19" s="179" t="str">
        <f>IFERROR(ATIVO_CORRENTE_2025/PASSIVO_CORRENTE_2025,"")</f>
        <v/>
      </c>
      <c r="G19" s="179" t="str">
        <f>IFERROR(ATIVO_CORRENTE_2026PAO/PASSIVO_CORRENTE_2026PAO,"")</f>
        <v/>
      </c>
      <c r="H19" s="179" t="str">
        <f>IFERROR(ATIVO_CORRENTE_2026E/PASSIVO_CORRENTE_2026E,"")</f>
        <v/>
      </c>
      <c r="I19" s="179" t="str">
        <f>IFERROR(ATIVO_CORRENTE_2027/PASSIVO_CORRENTE_2027,"")</f>
        <v/>
      </c>
      <c r="J19" s="179" t="str">
        <f>IFERROR(ATIVO_CORRENTE_2028/PASSIVO_CORRENTE_2028,"")</f>
        <v/>
      </c>
      <c r="K19" s="179" t="str">
        <f>IFERROR(ATIVO_CORRENTE_2029/PASSIVO_CORRENTE_2029,"")</f>
        <v/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6.25" customHeight="1" x14ac:dyDescent="0.4">
      <c r="A20" s="1"/>
      <c r="B20" s="639"/>
      <c r="C20" s="176" t="s">
        <v>319</v>
      </c>
      <c r="D20" s="193" t="s">
        <v>320</v>
      </c>
      <c r="E20" s="179" t="str">
        <f>IFERROR(PATRIMÓNIO_LÍQUIDO_2024/PASSIVO_2024,"")</f>
        <v/>
      </c>
      <c r="F20" s="179" t="str">
        <f>IFERROR(PATRIMÓNIO_LÍQUIDO_2025/PASSIVO_2025,"")</f>
        <v/>
      </c>
      <c r="G20" s="179" t="str">
        <f>IFERROR(PATRIMÓNIO_LÍQUIDO_2026PAO/PASSIVO_2026PAO,"")</f>
        <v/>
      </c>
      <c r="H20" s="179" t="str">
        <f>IFERROR(PATRIMÓNIO_LÍQUIDO_2026E/PASSIVO_2026E,"")</f>
        <v/>
      </c>
      <c r="I20" s="179" t="str">
        <f>IFERROR(PATRIMÓNIO_LÍQUIDO_2027/PASSIVO_2027,"")</f>
        <v/>
      </c>
      <c r="J20" s="179" t="str">
        <f>IFERROR(PATRIMÓNIO_LÍQUIDO_2028/PASSIVO_2028,"")</f>
        <v/>
      </c>
      <c r="K20" s="179" t="str">
        <f>IFERROR(PATRIMÓNIO_LÍQUIDO_2029/PASSIVO_2029,"")</f>
        <v/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4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4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4">
      <c r="A23" s="1"/>
      <c r="B23" s="640" t="s">
        <v>307</v>
      </c>
      <c r="C23" s="640"/>
      <c r="D23" s="640"/>
      <c r="E23" s="640"/>
      <c r="F23" s="640"/>
      <c r="G23" s="640"/>
      <c r="H23" s="640"/>
      <c r="I23" s="640"/>
      <c r="J23" s="640"/>
      <c r="K23" s="640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4">
      <c r="A24" s="1"/>
      <c r="B24" s="640"/>
      <c r="C24" s="640"/>
      <c r="D24" s="640"/>
      <c r="E24" s="640"/>
      <c r="F24" s="640"/>
      <c r="G24" s="640"/>
      <c r="H24" s="640"/>
      <c r="I24" s="640"/>
      <c r="J24" s="640"/>
      <c r="K24" s="640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4">
      <c r="A25" s="1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hidden="1" x14ac:dyDescent="0.4">
      <c r="A26" s="1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hidden="1" x14ac:dyDescent="0.4">
      <c r="A27" s="1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hidden="1" x14ac:dyDescent="0.4">
      <c r="A28" s="1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hidden="1" x14ac:dyDescent="0.4">
      <c r="A29" s="1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hidden="1" x14ac:dyDescent="0.4">
      <c r="A30" s="1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 hidden="1" x14ac:dyDescent="0.4">
      <c r="A31" s="1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 hidden="1" x14ac:dyDescent="0.4">
      <c r="A32" s="1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 hidden="1" x14ac:dyDescent="0.4">
      <c r="A33" s="1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 hidden="1" x14ac:dyDescent="0.4">
      <c r="A34" s="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hidden="1" x14ac:dyDescent="0.4">
      <c r="A35" s="1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" hidden="1" x14ac:dyDescent="0.4">
      <c r="A36" s="1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" hidden="1" x14ac:dyDescent="0.4">
      <c r="A37" s="1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" hidden="1" x14ac:dyDescent="0.4">
      <c r="A38" s="1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" hidden="1" x14ac:dyDescent="0.4">
      <c r="A39" s="1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" hidden="1" x14ac:dyDescent="0.4">
      <c r="A40" s="1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" hidden="1" x14ac:dyDescent="0.4">
      <c r="A41" s="1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hidden="1" x14ac:dyDescent="0.4">
      <c r="A42" s="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hidden="1" x14ac:dyDescent="0.4">
      <c r="A43" s="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" hidden="1" x14ac:dyDescent="0.4">
      <c r="A44" s="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" hidden="1" x14ac:dyDescent="0.4">
      <c r="A45" s="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" hidden="1" x14ac:dyDescent="0.4">
      <c r="A46" s="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" hidden="1" x14ac:dyDescent="0.4">
      <c r="A47" s="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" hidden="1" x14ac:dyDescent="0.4">
      <c r="A48" s="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" hidden="1" x14ac:dyDescent="0.4">
      <c r="A49" s="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" hidden="1" x14ac:dyDescent="0.4">
      <c r="A50" s="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" hidden="1" x14ac:dyDescent="0.4">
      <c r="A51" s="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" hidden="1" x14ac:dyDescent="0.4"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" hidden="1" x14ac:dyDescent="0.4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" hidden="1" x14ac:dyDescent="0.4"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" hidden="1" x14ac:dyDescent="0.4"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" hidden="1" x14ac:dyDescent="0.4"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" hidden="1" x14ac:dyDescent="0.4"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" hidden="1" x14ac:dyDescent="0.4"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idden="1" x14ac:dyDescent="0.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idden="1" x14ac:dyDescent="0.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idden="1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idden="1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idden="1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idden="1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idden="1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idden="1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2:23" hidden="1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2:23" hidden="1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2:23" hidden="1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2:23" hidden="1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2:23" hidden="1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2:23" hidden="1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2:23" hidden="1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2:23" hidden="1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2:23" hidden="1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</sheetData>
  <sheetProtection selectLockedCells="1"/>
  <mergeCells count="7">
    <mergeCell ref="B18:B20"/>
    <mergeCell ref="B23:K24"/>
    <mergeCell ref="B5:B8"/>
    <mergeCell ref="B14:B17"/>
    <mergeCell ref="D3:D4"/>
    <mergeCell ref="B3:C4"/>
    <mergeCell ref="B9:B13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D436-4D2D-4AD2-8418-9E3CE2DEF887}">
  <sheetPr>
    <tabColor theme="9" tint="0.39997558519241921"/>
  </sheetPr>
  <dimension ref="A1:AP212"/>
  <sheetViews>
    <sheetView topLeftCell="A4" workbookViewId="0">
      <selection activeCell="N8" sqref="N8"/>
    </sheetView>
  </sheetViews>
  <sheetFormatPr defaultColWidth="0" defaultRowHeight="14.6" zeroHeight="1" x14ac:dyDescent="0.4"/>
  <cols>
    <col min="1" max="2" width="9.15234375" customWidth="1"/>
    <col min="3" max="3" width="64.84375" customWidth="1"/>
    <col min="4" max="4" width="1.84375" customWidth="1"/>
    <col min="5" max="5" width="18.84375" customWidth="1"/>
    <col min="6" max="8" width="18.69140625" bestFit="1" customWidth="1"/>
    <col min="9" max="9" width="2.3828125" customWidth="1"/>
    <col min="10" max="10" width="17.53515625" bestFit="1" customWidth="1"/>
    <col min="11" max="12" width="15.53515625" bestFit="1" customWidth="1"/>
    <col min="13" max="13" width="3.53515625" customWidth="1"/>
    <col min="14" max="14" width="17" customWidth="1"/>
    <col min="15" max="15" width="9.15234375" customWidth="1"/>
    <col min="16" max="16" width="8.69140625" customWidth="1"/>
    <col min="17" max="24" width="9.15234375" customWidth="1"/>
    <col min="25" max="42" width="0" hidden="1" customWidth="1"/>
    <col min="43" max="16384" width="9.15234375" hidden="1"/>
  </cols>
  <sheetData>
    <row r="1" spans="1:4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4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4">
      <c r="A3" s="1"/>
      <c r="B3" s="1"/>
      <c r="C3" s="2"/>
      <c r="D3" s="2"/>
      <c r="E3" s="2"/>
      <c r="F3" s="2"/>
      <c r="G3" s="648"/>
      <c r="H3" s="64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3.5" customHeight="1" x14ac:dyDescent="0.4">
      <c r="A4" s="1"/>
      <c r="B4" s="1"/>
      <c r="C4" s="650" t="s">
        <v>297</v>
      </c>
      <c r="D4" s="141"/>
      <c r="E4" s="189">
        <f>IF(Instruções!C6="","",IF(ISERROR(Instruções!C6),"",Instruções!C6))</f>
        <v>2026</v>
      </c>
      <c r="F4" s="189">
        <f>IF(Instruções!C6="","",IF(ISERROR(Instruções!C6),"",Instruções!C6+1))</f>
        <v>2027</v>
      </c>
      <c r="G4" s="189">
        <f>IF(Instruções!C6="","",IF(ISERROR(Instruções!C6),"",Instruções!C6+2))</f>
        <v>2028</v>
      </c>
      <c r="H4" s="189">
        <f>IF(Instruções!C6="","",IF(ISERROR(Instruções!C6),"",Instruções!C6+3))</f>
        <v>2029</v>
      </c>
      <c r="I4" s="109"/>
      <c r="J4" s="651" t="s">
        <v>372</v>
      </c>
      <c r="K4" s="653" t="s">
        <v>390</v>
      </c>
      <c r="L4" s="653" t="s">
        <v>495</v>
      </c>
      <c r="M4" s="142"/>
      <c r="N4" s="655" t="s">
        <v>301</v>
      </c>
      <c r="O4" s="109"/>
      <c r="P4" s="649" t="s">
        <v>302</v>
      </c>
      <c r="Q4" s="649"/>
      <c r="R4" s="649"/>
      <c r="S4" s="645" t="s">
        <v>306</v>
      </c>
      <c r="T4" s="646"/>
      <c r="U4" s="647"/>
      <c r="V4" s="2"/>
      <c r="W4" s="2"/>
      <c r="X4" s="2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9.5" customHeight="1" x14ac:dyDescent="0.4">
      <c r="A5" s="1"/>
      <c r="B5" s="1"/>
      <c r="C5" s="650"/>
      <c r="D5" s="141"/>
      <c r="E5" s="190" t="s">
        <v>368</v>
      </c>
      <c r="F5" s="190" t="s">
        <v>79</v>
      </c>
      <c r="G5" s="190" t="s">
        <v>79</v>
      </c>
      <c r="H5" s="190" t="s">
        <v>79</v>
      </c>
      <c r="I5" s="109"/>
      <c r="J5" s="652"/>
      <c r="K5" s="654"/>
      <c r="L5" s="654"/>
      <c r="M5" s="142"/>
      <c r="N5" s="655"/>
      <c r="O5" s="109"/>
      <c r="P5" s="189" t="s">
        <v>303</v>
      </c>
      <c r="Q5" s="189" t="s">
        <v>304</v>
      </c>
      <c r="R5" s="189" t="s">
        <v>305</v>
      </c>
      <c r="S5" s="189" t="s">
        <v>303</v>
      </c>
      <c r="T5" s="189" t="s">
        <v>304</v>
      </c>
      <c r="U5" s="189" t="s">
        <v>305</v>
      </c>
      <c r="V5" s="2"/>
      <c r="W5" s="2"/>
      <c r="X5" s="2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4">
      <c r="A6" s="1"/>
      <c r="B6" s="1"/>
      <c r="C6" s="188" t="s">
        <v>498</v>
      </c>
      <c r="D6" s="187"/>
      <c r="E6" s="186"/>
      <c r="F6" s="186"/>
      <c r="G6" s="186"/>
      <c r="H6" s="186"/>
      <c r="I6" s="158"/>
      <c r="J6" s="186"/>
      <c r="K6" s="186"/>
      <c r="L6" s="186"/>
      <c r="M6" s="158"/>
      <c r="N6" s="186"/>
      <c r="O6" s="158"/>
      <c r="P6" s="325"/>
      <c r="Q6" s="325"/>
      <c r="R6" s="325"/>
      <c r="S6" s="325"/>
      <c r="T6" s="325"/>
      <c r="U6" s="325"/>
      <c r="V6" s="2"/>
      <c r="W6" s="2"/>
      <c r="X6" s="2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4">
      <c r="A7" s="1"/>
      <c r="B7" s="1"/>
      <c r="C7" s="182" t="s">
        <v>298</v>
      </c>
      <c r="D7" s="183"/>
      <c r="E7" s="513">
        <v>6.8</v>
      </c>
      <c r="F7" s="513">
        <v>5.3</v>
      </c>
      <c r="G7" s="513">
        <v>4.5</v>
      </c>
      <c r="H7" s="513">
        <v>4</v>
      </c>
      <c r="I7" s="310"/>
      <c r="J7" s="443">
        <f>Instruções!F12/100</f>
        <v>5.2999999999999999E-2</v>
      </c>
      <c r="K7" s="443">
        <f>Instruções!G12/100</f>
        <v>4.4999999999999998E-2</v>
      </c>
      <c r="L7" s="443">
        <f>Instruções!H12/100</f>
        <v>0.04</v>
      </c>
      <c r="M7" s="299"/>
      <c r="N7" s="443">
        <f>GEOMEAN(J7:L7)</f>
        <v>4.5692977420534679E-2</v>
      </c>
      <c r="O7" s="185"/>
      <c r="P7" s="309"/>
      <c r="Q7" s="309"/>
      <c r="R7" s="309"/>
      <c r="S7" s="309"/>
      <c r="T7" s="309"/>
      <c r="U7" s="309"/>
      <c r="V7" s="2"/>
      <c r="W7" s="2"/>
      <c r="X7" s="2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4">
      <c r="A8" s="1"/>
      <c r="B8" s="1"/>
      <c r="C8" s="182" t="s">
        <v>299</v>
      </c>
      <c r="D8" s="183"/>
      <c r="E8" s="513">
        <v>1.8</v>
      </c>
      <c r="F8" s="513">
        <v>1.7</v>
      </c>
      <c r="G8" s="513">
        <v>1.7</v>
      </c>
      <c r="H8" s="513">
        <v>1.8</v>
      </c>
      <c r="I8" s="311"/>
      <c r="J8" s="179">
        <f>Instruções!F14/100</f>
        <v>1.7000000000000001E-2</v>
      </c>
      <c r="K8" s="179">
        <f>Instruções!G14/100</f>
        <v>1.7000000000000001E-2</v>
      </c>
      <c r="L8" s="179">
        <f>Instruções!H14/100</f>
        <v>1.8000000000000002E-2</v>
      </c>
      <c r="M8" s="312"/>
      <c r="N8" s="179">
        <f>GEOMEAN(J8:L8)</f>
        <v>1.7327002948030284E-2</v>
      </c>
      <c r="O8" s="184"/>
      <c r="P8" s="309"/>
      <c r="Q8" s="309"/>
      <c r="R8" s="309"/>
      <c r="S8" s="309"/>
      <c r="T8" s="309"/>
      <c r="U8" s="309"/>
      <c r="V8" s="2"/>
      <c r="W8" s="2"/>
      <c r="X8" s="2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4">
      <c r="A9" s="1"/>
      <c r="B9" s="1"/>
      <c r="C9" s="182" t="s">
        <v>505</v>
      </c>
      <c r="D9" s="183"/>
      <c r="E9" s="513">
        <v>3.5</v>
      </c>
      <c r="F9" s="513">
        <v>2.8</v>
      </c>
      <c r="G9" s="513">
        <v>2.5</v>
      </c>
      <c r="H9" s="513">
        <v>2.2999999999999998</v>
      </c>
      <c r="I9" s="311"/>
      <c r="J9" s="179">
        <f>Instruções!F21/100</f>
        <v>2.7999999999999997E-2</v>
      </c>
      <c r="K9" s="179">
        <f>Instruções!G21/100</f>
        <v>2.5000000000000001E-2</v>
      </c>
      <c r="L9" s="179">
        <f>Instruções!H21/100</f>
        <v>2.3E-2</v>
      </c>
      <c r="M9" s="312"/>
      <c r="N9" s="179">
        <f>GEOMEAN(J9:L9)</f>
        <v>2.5250808718338489E-2</v>
      </c>
      <c r="O9" s="184"/>
      <c r="P9" s="309"/>
      <c r="Q9" s="309"/>
      <c r="R9" s="309"/>
      <c r="S9" s="309"/>
      <c r="T9" s="309"/>
      <c r="U9" s="309"/>
      <c r="V9" s="2"/>
      <c r="W9" s="2"/>
      <c r="X9" s="2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7.5" customHeight="1" x14ac:dyDescent="0.4">
      <c r="A10" s="1"/>
      <c r="B10" s="1"/>
      <c r="C10" s="181"/>
      <c r="D10" s="96"/>
      <c r="E10" s="299"/>
      <c r="F10" s="299"/>
      <c r="G10" s="299"/>
      <c r="H10" s="299"/>
      <c r="I10" s="312"/>
      <c r="J10" s="312"/>
      <c r="K10" s="312"/>
      <c r="L10" s="312"/>
      <c r="M10" s="312"/>
      <c r="N10" s="312"/>
      <c r="O10" s="175"/>
      <c r="P10" s="299"/>
      <c r="Q10" s="299"/>
      <c r="R10" s="299"/>
      <c r="S10" s="299"/>
      <c r="T10" s="299"/>
      <c r="U10" s="299"/>
      <c r="V10" s="2"/>
      <c r="W10" s="2"/>
      <c r="X10" s="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4">
      <c r="A11" s="1"/>
      <c r="B11" s="1"/>
      <c r="C11" s="96" t="s">
        <v>340</v>
      </c>
      <c r="D11" s="96"/>
      <c r="E11" s="288">
        <f>IFERROR('Eficiência Operacional'!F16,"")</f>
        <v>0</v>
      </c>
      <c r="F11" s="288">
        <f>IFERROR('Eficiência Operacional'!G16,"")</f>
        <v>0</v>
      </c>
      <c r="G11" s="288">
        <f>IFERROR('Eficiência Operacional'!H16,"")</f>
        <v>0</v>
      </c>
      <c r="H11" s="288">
        <f>IFERROR('Eficiência Operacional'!I16,"")</f>
        <v>0</v>
      </c>
      <c r="I11" s="312"/>
      <c r="J11" s="305" t="str">
        <f t="shared" ref="J11:L12" si="0">IF(AND(E11="",F11=""),"",IFERROR(F11/E11-1,""))</f>
        <v/>
      </c>
      <c r="K11" s="305" t="str">
        <f t="shared" si="0"/>
        <v/>
      </c>
      <c r="L11" s="305" t="str">
        <f t="shared" si="0"/>
        <v/>
      </c>
      <c r="M11" s="444"/>
      <c r="N11" s="305" t="str">
        <f>IFERROR(($H11/$E11)^(1/($H$4-$E$4))-1,"")</f>
        <v/>
      </c>
      <c r="O11" s="175"/>
      <c r="P11" s="326" t="str">
        <f>IF(J11="","",IF(J11&lt;J7,"S",""))</f>
        <v/>
      </c>
      <c r="Q11" s="326" t="str">
        <f>IF(J11="","",IF(J11&gt;J7,"N",""))</f>
        <v/>
      </c>
      <c r="R11" s="327"/>
      <c r="S11" s="326" t="str">
        <f>IF(N11="","",IF(N11&lt;N7,"S",""))</f>
        <v/>
      </c>
      <c r="T11" s="326" t="str">
        <f>IF(N11="","",IF(N11&gt;N7,"N",""))</f>
        <v/>
      </c>
      <c r="U11" s="327"/>
      <c r="V11" s="2"/>
      <c r="W11" s="2"/>
      <c r="X11" s="2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4">
      <c r="A12" s="1"/>
      <c r="B12" s="1"/>
      <c r="C12" s="96" t="s">
        <v>348</v>
      </c>
      <c r="D12" s="96"/>
      <c r="E12" s="288" t="str">
        <f>IFERROR(VN_2026E,"")</f>
        <v/>
      </c>
      <c r="F12" s="288" t="str">
        <f>IFERROR(VN_2027,"")</f>
        <v/>
      </c>
      <c r="G12" s="288" t="str">
        <f>IFERROR(VN_2028,"")</f>
        <v/>
      </c>
      <c r="H12" s="288" t="str">
        <f>IFERROR(VN_2029,"")</f>
        <v/>
      </c>
      <c r="I12" s="312"/>
      <c r="J12" s="305" t="str">
        <f t="shared" si="0"/>
        <v/>
      </c>
      <c r="K12" s="305" t="str">
        <f t="shared" si="0"/>
        <v/>
      </c>
      <c r="L12" s="305" t="str">
        <f t="shared" si="0"/>
        <v/>
      </c>
      <c r="M12" s="313"/>
      <c r="N12" s="305" t="str">
        <f>IFERROR(($H12/$E12)^(1/($H$4-$E$4))-1,"")</f>
        <v/>
      </c>
      <c r="O12" s="175"/>
      <c r="P12" s="326" t="str">
        <f>IF($J12="","",IF($J12&gt;=0,"S",""))</f>
        <v/>
      </c>
      <c r="Q12" s="326" t="str">
        <f>IF($J12="","",IF($J12&lt;0,"N",""))</f>
        <v/>
      </c>
      <c r="R12" s="327"/>
      <c r="S12" s="326" t="str">
        <f>IF($N12="","",IF($N12&gt;=0,"S",""))</f>
        <v/>
      </c>
      <c r="T12" s="326" t="str">
        <f>IF($N12="","",IF($N12&lt;0,"N",""))</f>
        <v/>
      </c>
      <c r="U12" s="327"/>
      <c r="V12" s="2"/>
      <c r="W12" s="2"/>
      <c r="X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4">
      <c r="A13" s="1"/>
      <c r="B13" s="1"/>
      <c r="C13" s="136" t="s">
        <v>341</v>
      </c>
      <c r="D13" s="136"/>
      <c r="E13" s="288">
        <f>IFERROR(DR!G27,"")</f>
        <v>0</v>
      </c>
      <c r="F13" s="288">
        <f>IFERROR(DR!K27,"")</f>
        <v>0</v>
      </c>
      <c r="G13" s="288">
        <f>IFERROR(DR!L27,"")</f>
        <v>0</v>
      </c>
      <c r="H13" s="288">
        <f>IFERROR(DR!M27,"")</f>
        <v>0</v>
      </c>
      <c r="I13" s="314"/>
      <c r="J13" s="306">
        <f>IF(OR(F13="",E13=""),"",IFERROR(F13-E13,""))</f>
        <v>0</v>
      </c>
      <c r="K13" s="306">
        <f t="shared" ref="K13:L14" si="1">IF(OR(G13="",F13=""),"",IFERROR(G13-F13,""))</f>
        <v>0</v>
      </c>
      <c r="L13" s="306">
        <f t="shared" si="1"/>
        <v>0</v>
      </c>
      <c r="M13" s="333"/>
      <c r="N13" s="306">
        <f>IFERROR(AVERAGE(J13:L13),"")</f>
        <v>0</v>
      </c>
      <c r="O13" s="232"/>
      <c r="P13" s="326" t="str">
        <f>IF($J13="","",IF($J13&gt;=0,"S",""))</f>
        <v>S</v>
      </c>
      <c r="Q13" s="326" t="str">
        <f>IF($J13="","",IF($J13&lt;0,"N",""))</f>
        <v/>
      </c>
      <c r="R13" s="327"/>
      <c r="S13" s="326" t="str">
        <f>IF($N13="","",IF($N13&gt;=0,"S",""))</f>
        <v>S</v>
      </c>
      <c r="T13" s="326" t="str">
        <f>IF($N13="","",IF($N13&lt;0,"N",""))</f>
        <v/>
      </c>
      <c r="U13" s="327"/>
      <c r="V13" s="2"/>
      <c r="W13" s="2"/>
      <c r="X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4">
      <c r="A14" s="1"/>
      <c r="B14" s="1"/>
      <c r="C14" s="136" t="s">
        <v>342</v>
      </c>
      <c r="D14" s="136"/>
      <c r="E14" s="288" t="str">
        <f>IFERROR('Eficiência Operacional'!F29,"")</f>
        <v/>
      </c>
      <c r="F14" s="288" t="str">
        <f>IFERROR('Eficiência Operacional'!G29,"")</f>
        <v/>
      </c>
      <c r="G14" s="288" t="str">
        <f>IFERROR('Eficiência Operacional'!H29,"")</f>
        <v/>
      </c>
      <c r="H14" s="288" t="str">
        <f>IFERROR('Eficiência Operacional'!I29,"")</f>
        <v/>
      </c>
      <c r="I14" s="314"/>
      <c r="J14" s="306" t="str">
        <f>IF(OR(F14="",E14=""),"",IFERROR(F14-E14,""))</f>
        <v/>
      </c>
      <c r="K14" s="306" t="str">
        <f t="shared" si="1"/>
        <v/>
      </c>
      <c r="L14" s="306" t="str">
        <f t="shared" si="1"/>
        <v/>
      </c>
      <c r="M14" s="333"/>
      <c r="N14" s="306" t="str">
        <f t="shared" ref="N14" si="2">IFERROR(AVERAGE(J14:L14),"")</f>
        <v/>
      </c>
      <c r="O14" s="232"/>
      <c r="P14" s="326" t="str">
        <f t="shared" ref="P14" si="3">IF($J14="","",IF($J14&gt;=0,"S",""))</f>
        <v/>
      </c>
      <c r="Q14" s="326" t="str">
        <f t="shared" ref="Q14" si="4">IF($J14="","",IF($J14&lt;0,"N",""))</f>
        <v/>
      </c>
      <c r="R14" s="327"/>
      <c r="S14" s="326" t="str">
        <f t="shared" ref="S14" si="5">IF($N14="","",IF($N14&gt;=0,"S",""))</f>
        <v/>
      </c>
      <c r="T14" s="326" t="str">
        <f t="shared" ref="T14" si="6">IF($N14="","",IF($N14&lt;0,"N",""))</f>
        <v/>
      </c>
      <c r="U14" s="327"/>
      <c r="V14" s="2"/>
      <c r="W14" s="2"/>
      <c r="X14" s="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4">
      <c r="A15" s="1"/>
      <c r="B15" s="1"/>
      <c r="C15" s="96" t="s">
        <v>343</v>
      </c>
      <c r="D15" s="96"/>
      <c r="E15" s="288">
        <f>IFERROR(RL_2026E,"")</f>
        <v>0</v>
      </c>
      <c r="F15" s="288">
        <f>IFERROR(RL_2027,"")</f>
        <v>0</v>
      </c>
      <c r="G15" s="288">
        <f>IFERROR(RL_2028,"")</f>
        <v>0</v>
      </c>
      <c r="H15" s="288">
        <f>IFERROR(RL_2029,"")</f>
        <v>0</v>
      </c>
      <c r="I15" s="312"/>
      <c r="J15" s="306">
        <f>IF(OR(E15="",F15=""),"",IFERROR(F15-E15,""))</f>
        <v>0</v>
      </c>
      <c r="K15" s="306">
        <f t="shared" ref="K15:L15" si="7">IF(OR(F15="",G15=""),"",IFERROR(G15-F15,""))</f>
        <v>0</v>
      </c>
      <c r="L15" s="306">
        <f t="shared" si="7"/>
        <v>0</v>
      </c>
      <c r="M15" s="333"/>
      <c r="N15" s="306">
        <f t="shared" ref="N15:N20" si="8">IFERROR(AVERAGE(J15:L15),"")</f>
        <v>0</v>
      </c>
      <c r="O15" s="232"/>
      <c r="P15" s="326" t="str">
        <f t="shared" ref="P15:P18" si="9">IF($J15="","",IF($J15&gt;=0,"S",""))</f>
        <v>S</v>
      </c>
      <c r="Q15" s="326" t="str">
        <f t="shared" ref="Q15:Q18" si="10">IF($J15="","",IF($J15&lt;0,"N",""))</f>
        <v/>
      </c>
      <c r="R15" s="327"/>
      <c r="S15" s="326" t="str">
        <f t="shared" ref="S15:S18" si="11">IF($N15="","",IF($N15&gt;=0,"S",""))</f>
        <v>S</v>
      </c>
      <c r="T15" s="326" t="str">
        <f t="shared" ref="T15:T18" si="12">IF($N15="","",IF($N15&lt;0,"N",""))</f>
        <v/>
      </c>
      <c r="U15" s="327"/>
      <c r="V15" s="2"/>
      <c r="W15" s="2"/>
      <c r="X15" s="2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x14ac:dyDescent="0.4">
      <c r="A16" s="1"/>
      <c r="B16" s="1"/>
      <c r="C16" s="96" t="s">
        <v>344</v>
      </c>
      <c r="D16" s="96"/>
      <c r="E16" s="179" t="str">
        <f>IFERROR('Rácios Econ. e financ.'!H15,"")</f>
        <v/>
      </c>
      <c r="F16" s="179" t="str">
        <f>IFERROR('Rácios Econ. e financ.'!I15,"")</f>
        <v/>
      </c>
      <c r="G16" s="179" t="str">
        <f>IFERROR('Rácios Econ. e financ.'!J15,"")</f>
        <v/>
      </c>
      <c r="H16" s="179" t="str">
        <f>IFERROR('Rácios Econ. e financ.'!K15,"")</f>
        <v/>
      </c>
      <c r="I16" s="312"/>
      <c r="J16" s="307" t="str">
        <f>IF(OR(E16="",F16=""),"",IFERROR((F16-E16)*1000,""))</f>
        <v/>
      </c>
      <c r="K16" s="307" t="str">
        <f t="shared" ref="K16:L16" si="13">IF(OR(F16="",G16=""),"",IFERROR((G16-F16)*1000,""))</f>
        <v/>
      </c>
      <c r="L16" s="307" t="str">
        <f t="shared" si="13"/>
        <v/>
      </c>
      <c r="M16" s="334"/>
      <c r="N16" s="315" t="str">
        <f t="shared" si="8"/>
        <v/>
      </c>
      <c r="O16" s="232"/>
      <c r="P16" s="326" t="str">
        <f t="shared" si="9"/>
        <v/>
      </c>
      <c r="Q16" s="326" t="str">
        <f t="shared" si="10"/>
        <v/>
      </c>
      <c r="R16" s="327"/>
      <c r="S16" s="326" t="str">
        <f t="shared" si="11"/>
        <v/>
      </c>
      <c r="T16" s="326" t="str">
        <f t="shared" si="12"/>
        <v/>
      </c>
      <c r="U16" s="327"/>
      <c r="V16" s="2"/>
      <c r="W16" s="2"/>
      <c r="X16" s="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4">
      <c r="A17" s="1"/>
      <c r="B17" s="1"/>
      <c r="C17" s="96" t="s">
        <v>345</v>
      </c>
      <c r="D17" s="96"/>
      <c r="E17" s="316" t="str">
        <f>IFERROR('Rácios Econ. e financ.'!H17,"")</f>
        <v/>
      </c>
      <c r="F17" s="316" t="str">
        <f>IFERROR('Rácios Econ. e financ.'!I17,"")</f>
        <v/>
      </c>
      <c r="G17" s="316" t="str">
        <f>IFERROR('Rácios Econ. e financ.'!J17,"")</f>
        <v/>
      </c>
      <c r="H17" s="316" t="str">
        <f>IFERROR('Rácios Econ. e financ.'!K17,"")</f>
        <v/>
      </c>
      <c r="I17" s="312"/>
      <c r="J17" s="308" t="str">
        <f>IF(OR(E17="",F17=""),"",IFERROR(F17-E17,""))</f>
        <v/>
      </c>
      <c r="K17" s="308" t="str">
        <f t="shared" ref="K17:L17" si="14">IF(OR(F17="",G17=""),"",IFERROR(G17-F17,""))</f>
        <v/>
      </c>
      <c r="L17" s="308" t="str">
        <f t="shared" si="14"/>
        <v/>
      </c>
      <c r="M17" s="335"/>
      <c r="N17" s="308" t="str">
        <f t="shared" si="8"/>
        <v/>
      </c>
      <c r="O17" s="232"/>
      <c r="P17" s="326" t="str">
        <f t="shared" si="9"/>
        <v/>
      </c>
      <c r="Q17" s="326" t="str">
        <f t="shared" si="10"/>
        <v/>
      </c>
      <c r="R17" s="327"/>
      <c r="S17" s="326" t="str">
        <f t="shared" si="11"/>
        <v/>
      </c>
      <c r="T17" s="326" t="str">
        <f t="shared" si="12"/>
        <v/>
      </c>
      <c r="U17" s="327"/>
      <c r="V17" s="2"/>
      <c r="W17" s="2"/>
      <c r="X17" s="2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4">
      <c r="A18" s="1"/>
      <c r="B18" s="1"/>
      <c r="C18" s="96" t="s">
        <v>346</v>
      </c>
      <c r="D18" s="96"/>
      <c r="E18" s="179" t="str">
        <f>IFERROR('Rácios Econ. e financ.'!H16,"")</f>
        <v/>
      </c>
      <c r="F18" s="179" t="str">
        <f>IFERROR('Rácios Econ. e financ.'!I16,"")</f>
        <v/>
      </c>
      <c r="G18" s="179" t="str">
        <f>IFERROR('Rácios Econ. e financ.'!J16,"")</f>
        <v/>
      </c>
      <c r="H18" s="179" t="str">
        <f>IFERROR('Rácios Econ. e financ.'!K16,"")</f>
        <v/>
      </c>
      <c r="I18" s="312"/>
      <c r="J18" s="307" t="str">
        <f>IF(OR(E18="",F18=""),"",IFERROR((F18-E18)*1000,""))</f>
        <v/>
      </c>
      <c r="K18" s="307" t="str">
        <f t="shared" ref="K18:L18" si="15">IF(OR(F18="",G18=""),"",IFERROR((G18-F18)*1000,""))</f>
        <v/>
      </c>
      <c r="L18" s="307" t="str">
        <f t="shared" si="15"/>
        <v/>
      </c>
      <c r="M18" s="336"/>
      <c r="N18" s="307" t="str">
        <f t="shared" si="8"/>
        <v/>
      </c>
      <c r="O18" s="232"/>
      <c r="P18" s="326" t="str">
        <f t="shared" si="9"/>
        <v/>
      </c>
      <c r="Q18" s="326" t="str">
        <f t="shared" si="10"/>
        <v/>
      </c>
      <c r="R18" s="327"/>
      <c r="S18" s="326" t="str">
        <f t="shared" si="11"/>
        <v/>
      </c>
      <c r="T18" s="326" t="str">
        <f t="shared" si="12"/>
        <v/>
      </c>
      <c r="U18" s="327"/>
      <c r="V18" s="2"/>
      <c r="W18" s="2"/>
      <c r="X18" s="2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4">
      <c r="A19" s="1"/>
      <c r="B19" s="1"/>
      <c r="C19" s="96" t="s">
        <v>347</v>
      </c>
      <c r="D19" s="96"/>
      <c r="E19" s="288">
        <f>IFERROR(Outros!F30,"")</f>
        <v>0</v>
      </c>
      <c r="F19" s="288">
        <f>IFERROR(Outros!G30,"")</f>
        <v>0</v>
      </c>
      <c r="G19" s="288">
        <f>IFERROR(Outros!H30,"")</f>
        <v>0</v>
      </c>
      <c r="H19" s="288">
        <f>IFERROR(Outros!I30,"")</f>
        <v>0</v>
      </c>
      <c r="I19" s="312"/>
      <c r="J19" s="306">
        <f>IF(OR(E19="",F19=""),"",IFERROR(F19-E19,""))</f>
        <v>0</v>
      </c>
      <c r="K19" s="306">
        <f t="shared" ref="K19:L19" si="16">IF(OR(F19="",G19=""),"",IFERROR(G19-F19,""))</f>
        <v>0</v>
      </c>
      <c r="L19" s="306">
        <f t="shared" si="16"/>
        <v>0</v>
      </c>
      <c r="M19" s="337"/>
      <c r="N19" s="306">
        <f t="shared" si="8"/>
        <v>0</v>
      </c>
      <c r="O19" s="232"/>
      <c r="P19" s="326" t="str">
        <f>IF($J19="","",IF($J19&lt;=0,"S",""))</f>
        <v>S</v>
      </c>
      <c r="Q19" s="326" t="str">
        <f>IF($J19="","",IF($J19&lt;=0,"","N"))</f>
        <v/>
      </c>
      <c r="R19" s="327"/>
      <c r="S19" s="326" t="str">
        <f>IF(N19="","",IF($N19&lt;=0,"S",""))</f>
        <v>S</v>
      </c>
      <c r="T19" s="326" t="str">
        <f>IF(N19="","",IF($N19&lt;=0,"","N"))</f>
        <v/>
      </c>
      <c r="U19" s="327"/>
      <c r="V19" s="2"/>
      <c r="W19" s="2"/>
      <c r="X19" s="2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3.5" customHeight="1" x14ac:dyDescent="0.4">
      <c r="A20" s="1"/>
      <c r="B20" s="1"/>
      <c r="C20" s="200" t="s">
        <v>374</v>
      </c>
      <c r="D20" s="200"/>
      <c r="E20" s="473" t="str">
        <f>IF(Resumo!F57&gt;0,Resumo!F57,"")</f>
        <v/>
      </c>
      <c r="F20" s="473" t="str">
        <f>IF(Resumo!G57&gt;0,Resumo!G57,"")</f>
        <v/>
      </c>
      <c r="G20" s="473" t="str">
        <f>IF(Resumo!H57&gt;0,Resumo!H57,"")</f>
        <v/>
      </c>
      <c r="H20" s="473" t="str">
        <f>IF(Resumo!I57&gt;0,Resumo!I57,"")</f>
        <v/>
      </c>
      <c r="I20" s="317"/>
      <c r="J20" s="306" t="str">
        <f>IF(OR(E20="",F20=""),"",IFERROR(F20-E20,""))</f>
        <v/>
      </c>
      <c r="K20" s="306" t="str">
        <f t="shared" ref="K20" si="17">IF(OR(F20="",G20=""),"",IFERROR(G20-F20,""))</f>
        <v/>
      </c>
      <c r="L20" s="306" t="str">
        <f t="shared" ref="L20" si="18">IF(OR(G20="",H20=""),"",IFERROR(H20-G20,""))</f>
        <v/>
      </c>
      <c r="M20" s="338"/>
      <c r="N20" s="306" t="str">
        <f t="shared" si="8"/>
        <v/>
      </c>
      <c r="O20" s="342"/>
      <c r="P20" s="326" t="str">
        <f>IF($J20="","",IF($J20&lt;=0,"S",""))</f>
        <v/>
      </c>
      <c r="Q20" s="326" t="str">
        <f>IF($J20="","",IF($J20&gt;0,"N",""))</f>
        <v/>
      </c>
      <c r="R20" s="327"/>
      <c r="S20" s="326" t="str">
        <f>IF($N20="","",IF($N20&lt;=0,"S",""))</f>
        <v/>
      </c>
      <c r="T20" s="326" t="str">
        <f>IF($N20="","",IF($N20&gt;0,"N",""))</f>
        <v/>
      </c>
      <c r="U20" s="327"/>
      <c r="V20" s="2"/>
      <c r="W20" s="2"/>
      <c r="X20" s="2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4">
      <c r="A21" s="1"/>
      <c r="B21" s="1"/>
      <c r="C21" s="1"/>
      <c r="D21" s="1"/>
      <c r="E21" s="300"/>
      <c r="F21" s="300"/>
      <c r="G21" s="300"/>
      <c r="H21" s="300"/>
      <c r="I21" s="318"/>
      <c r="J21" s="318"/>
      <c r="K21" s="318"/>
      <c r="L21" s="318"/>
      <c r="M21" s="318"/>
      <c r="N21" s="343"/>
      <c r="O21" s="1"/>
      <c r="P21" s="318"/>
      <c r="Q21" s="318"/>
      <c r="R21" s="318"/>
      <c r="S21" s="318"/>
      <c r="T21" s="318"/>
      <c r="U21" s="318"/>
      <c r="V21" s="2"/>
      <c r="W21" s="2"/>
      <c r="X21" s="2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4">
      <c r="A22" s="1"/>
      <c r="B22" s="1"/>
      <c r="C22" s="222" t="s">
        <v>300</v>
      </c>
      <c r="D22" s="223"/>
      <c r="E22" s="301"/>
      <c r="F22" s="301"/>
      <c r="G22" s="301"/>
      <c r="H22" s="301"/>
      <c r="I22" s="319"/>
      <c r="J22" s="320"/>
      <c r="K22" s="320"/>
      <c r="L22" s="320"/>
      <c r="M22" s="319"/>
      <c r="N22" s="344"/>
      <c r="O22" s="159"/>
      <c r="P22" s="320"/>
      <c r="Q22" s="320"/>
      <c r="R22" s="320"/>
      <c r="S22" s="320"/>
      <c r="T22" s="320"/>
      <c r="U22" s="320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x14ac:dyDescent="0.4">
      <c r="A23" s="1"/>
      <c r="B23" s="1"/>
      <c r="C23" s="96" t="s">
        <v>373</v>
      </c>
      <c r="D23" s="96"/>
      <c r="E23" s="302" t="str">
        <f>IFERROR(GO_2026E,"")</f>
        <v/>
      </c>
      <c r="F23" s="302" t="str">
        <f>IFERROR(GO_2027,"")</f>
        <v/>
      </c>
      <c r="G23" s="302" t="str">
        <f>IFERROR(GO_2028,"")</f>
        <v/>
      </c>
      <c r="H23" s="302" t="str">
        <f>IFERROR(GO_2029,"")</f>
        <v/>
      </c>
      <c r="I23" s="321"/>
      <c r="J23" s="322" t="str">
        <f>IF(AND(E23="",F23=""),"",IFERROR(F23/E23-1,""))</f>
        <v/>
      </c>
      <c r="K23" s="322" t="str">
        <f t="shared" ref="K23:L23" si="19">IF(AND(F23="",G23=""),"",IFERROR(G23/F23-1,""))</f>
        <v/>
      </c>
      <c r="L23" s="322" t="str">
        <f t="shared" si="19"/>
        <v/>
      </c>
      <c r="M23" s="339"/>
      <c r="N23" s="345" t="str">
        <f>IFERROR(($H23/$E23)^(1/($H$4-$E$4))-1,"")</f>
        <v/>
      </c>
      <c r="O23" s="342"/>
      <c r="P23" s="328" t="str">
        <f>IF(J23="","",IF(J23&lt;J12,"S",""))</f>
        <v/>
      </c>
      <c r="Q23" s="328" t="str">
        <f>IF(J23="","",IF(J23&gt;J12,"N",""))</f>
        <v/>
      </c>
      <c r="R23" s="329"/>
      <c r="S23" s="328" t="str">
        <f>IF(N23="","",IF(N23&lt;N12,"S",""))</f>
        <v/>
      </c>
      <c r="T23" s="328" t="str">
        <f>IF(N23="","",IF(N23&gt;N12,"N",""))</f>
        <v/>
      </c>
      <c r="U23" s="329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4">
      <c r="A24" s="1"/>
      <c r="B24" s="1"/>
      <c r="C24" s="96" t="s">
        <v>506</v>
      </c>
      <c r="D24" s="96"/>
      <c r="E24" s="288" t="str">
        <f>IFERROR(E23/(1+(Instruções!E21/100)),"")</f>
        <v/>
      </c>
      <c r="F24" s="288" t="str">
        <f>IFERROR(F23/(1+J9),"")</f>
        <v/>
      </c>
      <c r="G24" s="288" t="str">
        <f>IFERROR(G23/(1+K9),"")</f>
        <v/>
      </c>
      <c r="H24" s="288" t="str">
        <f>IFERROR(H23/(1+L9),"")</f>
        <v/>
      </c>
      <c r="I24" s="323"/>
      <c r="J24" s="324" t="str">
        <f t="shared" ref="J24:K27" si="20">IF(OR(F24="",E24=""),"",IFERROR(F24-E24,""))</f>
        <v/>
      </c>
      <c r="K24" s="324" t="str">
        <f t="shared" si="20"/>
        <v/>
      </c>
      <c r="L24" s="324" t="str">
        <f>IF(OR(G24="",H24=""),"",IFERROR(H24-G24,""))</f>
        <v/>
      </c>
      <c r="M24" s="340"/>
      <c r="N24" s="518" t="str">
        <f>IFERROR(AVERAGE(J24:L24),"")</f>
        <v/>
      </c>
      <c r="O24" s="233"/>
      <c r="P24" s="330" t="str">
        <f>IF($J24="","",IF($J24&lt;=0,"S",""))</f>
        <v/>
      </c>
      <c r="Q24" s="330" t="str">
        <f>IF($J24="","",IF($J24&lt;=0,"","N"))</f>
        <v/>
      </c>
      <c r="R24" s="331"/>
      <c r="S24" s="330" t="str">
        <f>IF(N24=0,"",IF($N24&lt;=0,"S",""))</f>
        <v/>
      </c>
      <c r="T24" s="330" t="str">
        <f>IF(N24="","",IF(N24&lt;=0,"","N"))</f>
        <v/>
      </c>
      <c r="U24" s="331"/>
      <c r="V24" s="2"/>
      <c r="W24" s="2"/>
      <c r="X24" s="2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x14ac:dyDescent="0.4">
      <c r="A25" s="1"/>
      <c r="B25" s="1"/>
      <c r="C25" s="2" t="s">
        <v>339</v>
      </c>
      <c r="D25" s="2"/>
      <c r="E25" s="179" t="str">
        <f>IFERROR('Eficiência Operacional'!F8/VN_2026E,"")</f>
        <v/>
      </c>
      <c r="F25" s="179" t="str">
        <f>IFERROR('Eficiência Operacional'!G8/VN_2027,"")</f>
        <v/>
      </c>
      <c r="G25" s="179" t="str">
        <f>IFERROR('Eficiência Operacional'!H8/VN_2028,"")</f>
        <v/>
      </c>
      <c r="H25" s="179" t="str">
        <f>IFERROR('Eficiência Operacional'!I8/VN_2029,"")</f>
        <v/>
      </c>
      <c r="I25" s="299"/>
      <c r="J25" s="307" t="str">
        <f>IF(OR(F25="",E25=""),"",IFERROR((F25-E25)*1000,""))</f>
        <v/>
      </c>
      <c r="K25" s="307" t="str">
        <f t="shared" ref="K25:L25" si="21">IF(OR(G25="",F25=""),"",IFERROR((G25-F25)*1000,""))</f>
        <v/>
      </c>
      <c r="L25" s="307" t="str">
        <f t="shared" si="21"/>
        <v/>
      </c>
      <c r="M25" s="341"/>
      <c r="N25" s="307" t="str">
        <f>IFERROR(AVERAGE(J25:L25),"")</f>
        <v/>
      </c>
      <c r="O25" s="233"/>
      <c r="P25" s="348" t="str">
        <f>IF($J25="","",IF($J25&lt;=0,"S",""))</f>
        <v/>
      </c>
      <c r="Q25" s="348" t="str">
        <f>IF($J25="","",IF($J25&lt;=0,"","N"))</f>
        <v/>
      </c>
      <c r="R25" s="331"/>
      <c r="S25" s="348" t="str">
        <f>IF(N25=0,"",IF($N25&lt;=0,"S",""))</f>
        <v/>
      </c>
      <c r="T25" s="348" t="str">
        <f>IF(N25="","",IF(N25&lt;=0,"","N"))</f>
        <v/>
      </c>
      <c r="U25" s="331"/>
      <c r="V25" s="2"/>
      <c r="W25" s="2"/>
      <c r="X25" s="2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4">
      <c r="A26" s="1"/>
      <c r="B26" s="1"/>
      <c r="C26" s="2" t="s">
        <v>337</v>
      </c>
      <c r="D26" s="2"/>
      <c r="E26" s="304"/>
      <c r="F26" s="304"/>
      <c r="G26" s="304"/>
      <c r="H26" s="304"/>
      <c r="I26" s="299"/>
      <c r="J26" s="303" t="str">
        <f t="shared" si="20"/>
        <v/>
      </c>
      <c r="K26" s="303" t="str">
        <f t="shared" si="20"/>
        <v/>
      </c>
      <c r="L26" s="303" t="str">
        <f>IF(OR(G26="",H26=""),"",IFERROR(H26-G26,""))</f>
        <v/>
      </c>
      <c r="M26" s="341"/>
      <c r="N26" s="346" t="str">
        <f t="shared" ref="N26:N27" si="22">IFERROR(AVERAGE(J26:L26),"")</f>
        <v/>
      </c>
      <c r="O26" s="233"/>
      <c r="P26" s="330" t="str">
        <f>IF($J26="","",IF($J26&lt;=0,"S",""))</f>
        <v/>
      </c>
      <c r="Q26" s="330" t="str">
        <f>IF($J26="","",IF($J26&lt;=0,"","N"))</f>
        <v/>
      </c>
      <c r="R26" s="331"/>
      <c r="S26" s="330" t="str">
        <f t="shared" ref="S26:S27" si="23">IF(N26=0,"",IF($N26&lt;=0,"S",""))</f>
        <v/>
      </c>
      <c r="T26" s="330" t="str">
        <f t="shared" ref="T26:T27" si="24">IF(N26="","",IF(N26&lt;=0,"","N"))</f>
        <v/>
      </c>
      <c r="U26" s="331"/>
      <c r="V26" s="2"/>
      <c r="W26" s="2"/>
      <c r="X26" s="2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x14ac:dyDescent="0.4">
      <c r="A27" s="1"/>
      <c r="B27" s="1"/>
      <c r="C27" s="2" t="s">
        <v>338</v>
      </c>
      <c r="D27" s="2"/>
      <c r="E27" s="304"/>
      <c r="F27" s="304"/>
      <c r="G27" s="304"/>
      <c r="H27" s="304"/>
      <c r="I27" s="299"/>
      <c r="J27" s="303" t="str">
        <f t="shared" si="20"/>
        <v/>
      </c>
      <c r="K27" s="303" t="str">
        <f t="shared" si="20"/>
        <v/>
      </c>
      <c r="L27" s="303" t="str">
        <f>IF(OR(G27="",H27=""),"",IFERROR(H27-G27,""))</f>
        <v/>
      </c>
      <c r="M27" s="341"/>
      <c r="N27" s="346" t="str">
        <f t="shared" si="22"/>
        <v/>
      </c>
      <c r="O27" s="233"/>
      <c r="P27" s="330" t="str">
        <f>IF($J27="","",IF($J27&lt;=0,"S",""))</f>
        <v/>
      </c>
      <c r="Q27" s="330" t="str">
        <f t="shared" ref="Q27" si="25">IF($J27="","",IF($J27&lt;=0,"","N"))</f>
        <v/>
      </c>
      <c r="R27" s="331"/>
      <c r="S27" s="330" t="str">
        <f t="shared" si="23"/>
        <v/>
      </c>
      <c r="T27" s="330" t="str">
        <f t="shared" si="24"/>
        <v/>
      </c>
      <c r="U27" s="331"/>
      <c r="V27" s="2"/>
      <c r="W27" s="2"/>
      <c r="X27" s="2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55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idden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idden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idden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idden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idden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idden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idden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idden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idden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42" hidden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42" hidden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42" hidden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42" hidden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42" hidden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42" hidden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42" hidden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42" hidden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42" hidden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idden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idden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idden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idden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idden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idden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idden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idden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idden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idden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idden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idden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idden="1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idden="1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idden="1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idden="1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2:33" hidden="1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2:33" hidden="1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2:33" hidden="1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2:33" hidden="1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2:33" hidden="1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2:33" hidden="1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2:33" hidden="1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2:33" hidden="1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2:33" hidden="1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2:33" hidden="1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2:33" hidden="1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2:33" hidden="1" x14ac:dyDescent="0.4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2:33" hidden="1" x14ac:dyDescent="0.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2:33" hidden="1" x14ac:dyDescent="0.4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2:33" hidden="1" x14ac:dyDescent="0.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2:33" hidden="1" x14ac:dyDescent="0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2:33" hidden="1" x14ac:dyDescent="0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2:33" hidden="1" x14ac:dyDescent="0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2:33" hidden="1" x14ac:dyDescent="0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2:33" hidden="1" x14ac:dyDescent="0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2:33" hidden="1" x14ac:dyDescent="0.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2:33" hidden="1" x14ac:dyDescent="0.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2:33" hidden="1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2:33" hidden="1" x14ac:dyDescent="0.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2:33" hidden="1" x14ac:dyDescent="0.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2:33" hidden="1" x14ac:dyDescent="0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2:33" hidden="1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2:33" hidden="1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2:33" hidden="1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2:33" hidden="1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2:33" hidden="1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2:33" hidden="1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2:33" hidden="1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2:33" hidden="1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2:33" hidden="1" x14ac:dyDescent="0.4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2:33" hidden="1" x14ac:dyDescent="0.4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2:33" hidden="1" x14ac:dyDescent="0.4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2:33" hidden="1" x14ac:dyDescent="0.4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2:33" hidden="1" x14ac:dyDescent="0.4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2:33" hidden="1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2:33" hidden="1" x14ac:dyDescent="0.4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2:33" hidden="1" x14ac:dyDescent="0.4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2:33" hidden="1" x14ac:dyDescent="0.4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2:33" hidden="1" x14ac:dyDescent="0.4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2:33" hidden="1" x14ac:dyDescent="0.4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2:33" hidden="1" x14ac:dyDescent="0.4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2:33" hidden="1" x14ac:dyDescent="0.4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2:33" hidden="1" x14ac:dyDescent="0.4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2:33" hidden="1" x14ac:dyDescent="0.4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2:33" hidden="1" x14ac:dyDescent="0.4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2:33" hidden="1" x14ac:dyDescent="0.4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2:33" hidden="1" x14ac:dyDescent="0.4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2:33" hidden="1" x14ac:dyDescent="0.4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2:33" hidden="1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2:33" hidden="1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2:33" hidden="1" x14ac:dyDescent="0.4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2:33" hidden="1" x14ac:dyDescent="0.4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2:33" hidden="1" x14ac:dyDescent="0.4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2:33" hidden="1" x14ac:dyDescent="0.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2:33" hidden="1" x14ac:dyDescent="0.4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2:33" hidden="1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2:33" hidden="1" x14ac:dyDescent="0.4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2:33" hidden="1" x14ac:dyDescent="0.4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2:33" hidden="1" x14ac:dyDescent="0.4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2:33" hidden="1" x14ac:dyDescent="0.4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2:33" hidden="1" x14ac:dyDescent="0.4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2:33" hidden="1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2:33" hidden="1" x14ac:dyDescent="0.4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2:33" hidden="1" x14ac:dyDescent="0.4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2:33" hidden="1" x14ac:dyDescent="0.4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2:33" hidden="1" x14ac:dyDescent="0.4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2:33" hidden="1" x14ac:dyDescent="0.4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2:33" hidden="1" x14ac:dyDescent="0.4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2:33" hidden="1" x14ac:dyDescent="0.4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2:33" hidden="1" x14ac:dyDescent="0.4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2:33" hidden="1" x14ac:dyDescent="0.4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2:33" hidden="1" x14ac:dyDescent="0.4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2:33" hidden="1" x14ac:dyDescent="0.4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2:33" hidden="1" x14ac:dyDescent="0.4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2:33" hidden="1" x14ac:dyDescent="0.4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2:33" hidden="1" x14ac:dyDescent="0.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2:33" hidden="1" x14ac:dyDescent="0.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2:33" hidden="1" x14ac:dyDescent="0.4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2:33" hidden="1" x14ac:dyDescent="0.4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2:33" hidden="1" x14ac:dyDescent="0.4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2:33" hidden="1" x14ac:dyDescent="0.4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2:33" hidden="1" x14ac:dyDescent="0.4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2:33" hidden="1" x14ac:dyDescent="0.4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2:33" hidden="1" x14ac:dyDescent="0.4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2:33" hidden="1" x14ac:dyDescent="0.4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2:33" hidden="1" x14ac:dyDescent="0.4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2:33" hidden="1" x14ac:dyDescent="0.4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2:33" hidden="1" x14ac:dyDescent="0.4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2:33" hidden="1" x14ac:dyDescent="0.4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2:33" hidden="1" x14ac:dyDescent="0.4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2:33" hidden="1" x14ac:dyDescent="0.4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2:33" hidden="1" x14ac:dyDescent="0.4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2:33" hidden="1" x14ac:dyDescent="0.4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2:33" hidden="1" x14ac:dyDescent="0.4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2:33" hidden="1" x14ac:dyDescent="0.4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2:33" hidden="1" x14ac:dyDescent="0.4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2:33" hidden="1" x14ac:dyDescent="0.4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2:33" hidden="1" x14ac:dyDescent="0.4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2:33" hidden="1" x14ac:dyDescent="0.4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2:33" hidden="1" x14ac:dyDescent="0.4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2:33" hidden="1" x14ac:dyDescent="0.4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2:33" hidden="1" x14ac:dyDescent="0.4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2:33" hidden="1" x14ac:dyDescent="0.4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2:33" hidden="1" x14ac:dyDescent="0.4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2:33" hidden="1" x14ac:dyDescent="0.4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2:33" hidden="1" x14ac:dyDescent="0.4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2:33" hidden="1" x14ac:dyDescent="0.4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2:33" hidden="1" x14ac:dyDescent="0.4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2:33" hidden="1" x14ac:dyDescent="0.4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2:33" hidden="1" x14ac:dyDescent="0.4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2:33" hidden="1" x14ac:dyDescent="0.4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2:33" hidden="1" x14ac:dyDescent="0.4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2:33" hidden="1" x14ac:dyDescent="0.4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2:33" hidden="1" x14ac:dyDescent="0.4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2:33" hidden="1" x14ac:dyDescent="0.4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2:33" hidden="1" x14ac:dyDescent="0.4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2:33" hidden="1" x14ac:dyDescent="0.4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2:33" hidden="1" x14ac:dyDescent="0.4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2:33" hidden="1" x14ac:dyDescent="0.4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2:33" hidden="1" x14ac:dyDescent="0.4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2:33" hidden="1" x14ac:dyDescent="0.4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2:33" hidden="1" x14ac:dyDescent="0.4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2:33" hidden="1" x14ac:dyDescent="0.4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2:33" hidden="1" x14ac:dyDescent="0.4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2:33" hidden="1" x14ac:dyDescent="0.4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2:33" hidden="1" x14ac:dyDescent="0.4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2:33" hidden="1" x14ac:dyDescent="0.4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2:33" hidden="1" x14ac:dyDescent="0.4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2:33" hidden="1" x14ac:dyDescent="0.4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2:33" hidden="1" x14ac:dyDescent="0.4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2:33" hidden="1" x14ac:dyDescent="0.4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2:33" hidden="1" x14ac:dyDescent="0.4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2:33" hidden="1" x14ac:dyDescent="0.4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2:33" hidden="1" x14ac:dyDescent="0.4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2:33" hidden="1" x14ac:dyDescent="0.4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2:33" hidden="1" x14ac:dyDescent="0.4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2:33" hidden="1" x14ac:dyDescent="0.4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2:33" hidden="1" x14ac:dyDescent="0.4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2:33" hidden="1" x14ac:dyDescent="0.4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2:33" hidden="1" x14ac:dyDescent="0.4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2:33" hidden="1" x14ac:dyDescent="0.4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2:33" hidden="1" x14ac:dyDescent="0.4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2:33" hidden="1" x14ac:dyDescent="0.4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</sheetData>
  <sheetProtection selectLockedCells="1"/>
  <mergeCells count="8">
    <mergeCell ref="S4:U4"/>
    <mergeCell ref="G3:H3"/>
    <mergeCell ref="P4:R4"/>
    <mergeCell ref="C4:C5"/>
    <mergeCell ref="J4:J5"/>
    <mergeCell ref="K4:K5"/>
    <mergeCell ref="L4:L5"/>
    <mergeCell ref="N4:N5"/>
  </mergeCells>
  <conditionalFormatting sqref="P11:U27">
    <cfRule type="cellIs" dxfId="1" priority="13" operator="equal">
      <formula>"N"</formula>
    </cfRule>
    <cfRule type="cellIs" dxfId="0" priority="14" operator="equal">
      <formula>"S"</formula>
    </cfRule>
  </conditionalFormatting>
  <pageMargins left="0.7" right="0.7" top="0.75" bottom="0.75" header="0.3" footer="0.3"/>
  <pageSetup paperSize="9" orientation="portrait" verticalDpi="0" r:id="rId1"/>
  <ignoredErrors>
    <ignoredError sqref="J16:L16 J18:L18 J25:L25 J17:L17" 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34EFA-BDCD-4490-A6D1-B2A727FE82BD}">
  <sheetPr codeName="Folha2">
    <tabColor theme="6" tint="-0.249977111117893"/>
  </sheetPr>
  <dimension ref="A1:AB162"/>
  <sheetViews>
    <sheetView tabSelected="1" topLeftCell="A9" zoomScaleNormal="100" workbookViewId="0">
      <selection activeCell="B15" sqref="B15"/>
    </sheetView>
  </sheetViews>
  <sheetFormatPr defaultColWidth="0" defaultRowHeight="14.6" zeroHeight="1" x14ac:dyDescent="0.4"/>
  <cols>
    <col min="1" max="1" width="9.15234375" style="1" customWidth="1"/>
    <col min="2" max="2" width="41.3046875" style="1" customWidth="1"/>
    <col min="3" max="3" width="33.84375" style="1" customWidth="1"/>
    <col min="4" max="8" width="9.15234375" style="1" customWidth="1"/>
    <col min="9" max="9" width="2.69140625" style="1" customWidth="1"/>
    <col min="10" max="10" width="9.15234375" style="1" customWidth="1"/>
    <col min="11" max="12" width="9.15234375" style="1" hidden="1" customWidth="1"/>
    <col min="13" max="28" width="0" style="1" hidden="1" customWidth="1"/>
    <col min="29" max="16384" width="9.15234375" style="1" hidden="1"/>
  </cols>
  <sheetData>
    <row r="1" spans="1:28" customFormat="1" ht="39" customHeight="1" x14ac:dyDescent="0.4">
      <c r="A1" s="1"/>
      <c r="B1" s="76"/>
      <c r="C1" s="76"/>
      <c r="D1" s="76"/>
      <c r="E1" s="76"/>
      <c r="F1" s="76"/>
      <c r="G1" s="76"/>
      <c r="H1" s="76"/>
      <c r="I1" s="76"/>
      <c r="J1" s="7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customFormat="1" ht="18" customHeight="1" x14ac:dyDescent="0.4">
      <c r="A2" s="1"/>
      <c r="B2" s="560" t="s">
        <v>8</v>
      </c>
      <c r="C2" s="561"/>
      <c r="D2" s="561"/>
      <c r="E2" s="561"/>
      <c r="F2" s="561"/>
      <c r="G2" s="561"/>
      <c r="H2" s="561"/>
      <c r="I2" s="562"/>
      <c r="J2" s="7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customFormat="1" ht="17.600000000000001" x14ac:dyDescent="0.4">
      <c r="A3" s="1"/>
      <c r="B3" s="80"/>
      <c r="C3" s="81"/>
      <c r="D3" s="81"/>
      <c r="E3" s="81"/>
      <c r="F3" s="81"/>
      <c r="G3" s="81"/>
      <c r="H3" s="81"/>
      <c r="I3" s="82"/>
      <c r="J3" s="7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customFormat="1" ht="33" customHeight="1" x14ac:dyDescent="0.4">
      <c r="A4" s="1"/>
      <c r="B4" s="22" t="s">
        <v>9</v>
      </c>
      <c r="C4" s="564"/>
      <c r="D4" s="564"/>
      <c r="E4" s="564"/>
      <c r="F4" s="564"/>
      <c r="G4" s="564"/>
      <c r="H4" s="564"/>
      <c r="I4" s="23"/>
      <c r="J4" s="7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customFormat="1" ht="15" x14ac:dyDescent="0.4">
      <c r="A5" s="1"/>
      <c r="B5" s="24"/>
      <c r="C5" s="14"/>
      <c r="D5" s="14"/>
      <c r="E5" s="14"/>
      <c r="F5" s="15"/>
      <c r="G5" s="15"/>
      <c r="H5" s="15"/>
      <c r="I5" s="25"/>
      <c r="J5" s="7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customFormat="1" ht="15" x14ac:dyDescent="0.4">
      <c r="A6" s="1"/>
      <c r="B6" s="26" t="s">
        <v>10</v>
      </c>
      <c r="C6" s="27">
        <v>2026</v>
      </c>
      <c r="D6" s="15"/>
      <c r="E6" s="15"/>
      <c r="F6" s="15"/>
      <c r="G6" s="15"/>
      <c r="H6" s="15"/>
      <c r="I6" s="25"/>
      <c r="J6" s="7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customFormat="1" ht="15" x14ac:dyDescent="0.4">
      <c r="A7" s="1"/>
      <c r="B7" s="24"/>
      <c r="C7" s="16"/>
      <c r="D7" s="15"/>
      <c r="E7" s="15"/>
      <c r="F7" s="15"/>
      <c r="G7" s="15"/>
      <c r="H7" s="15"/>
      <c r="I7" s="25"/>
      <c r="J7" s="7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customFormat="1" ht="15" x14ac:dyDescent="0.4">
      <c r="A8" s="1"/>
      <c r="B8" s="26" t="s">
        <v>11</v>
      </c>
      <c r="C8" s="7" t="s">
        <v>459</v>
      </c>
      <c r="D8" s="15"/>
      <c r="E8" s="15"/>
      <c r="F8" s="15"/>
      <c r="G8" s="15"/>
      <c r="H8" s="15"/>
      <c r="I8" s="25"/>
      <c r="J8" s="7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customFormat="1" ht="15" x14ac:dyDescent="0.4">
      <c r="A9" s="1"/>
      <c r="B9" s="24"/>
      <c r="C9" s="15"/>
      <c r="D9" s="15"/>
      <c r="E9" s="15"/>
      <c r="F9" s="15"/>
      <c r="G9" s="15"/>
      <c r="H9" s="15"/>
      <c r="I9" s="28"/>
      <c r="J9" s="7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customFormat="1" ht="15" x14ac:dyDescent="0.4">
      <c r="A10" s="1"/>
      <c r="B10" s="31" t="s">
        <v>12</v>
      </c>
      <c r="C10" s="14"/>
      <c r="D10" s="15"/>
      <c r="E10" s="15"/>
      <c r="F10" s="15"/>
      <c r="G10" s="15"/>
      <c r="H10" s="15"/>
      <c r="I10" s="29"/>
      <c r="J10" s="7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customFormat="1" ht="15" x14ac:dyDescent="0.4">
      <c r="A11" s="1"/>
      <c r="B11" s="30"/>
      <c r="C11" s="214" t="s">
        <v>13</v>
      </c>
      <c r="D11" s="432">
        <v>2025</v>
      </c>
      <c r="E11" s="432">
        <v>2026</v>
      </c>
      <c r="F11" s="432">
        <v>2027</v>
      </c>
      <c r="G11" s="432">
        <v>2028</v>
      </c>
      <c r="H11" s="433">
        <v>2029</v>
      </c>
      <c r="I11" s="29"/>
      <c r="J11" s="7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customFormat="1" ht="15" x14ac:dyDescent="0.4">
      <c r="A12" s="1"/>
      <c r="B12" s="30"/>
      <c r="C12" s="215" t="s">
        <v>14</v>
      </c>
      <c r="D12" s="434">
        <v>6.9</v>
      </c>
      <c r="E12" s="434">
        <v>6.8</v>
      </c>
      <c r="F12" s="434">
        <v>5.3</v>
      </c>
      <c r="G12" s="434">
        <v>4.5</v>
      </c>
      <c r="H12" s="435">
        <v>4</v>
      </c>
      <c r="I12" s="29"/>
      <c r="J12" s="76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customFormat="1" ht="29.25" customHeight="1" x14ac:dyDescent="0.4">
      <c r="A13" s="1"/>
      <c r="B13" s="30"/>
      <c r="C13" s="216" t="s">
        <v>15</v>
      </c>
      <c r="D13" s="436"/>
      <c r="E13" s="436"/>
      <c r="F13" s="436"/>
      <c r="G13" s="436"/>
      <c r="H13" s="437"/>
      <c r="I13" s="29"/>
      <c r="J13" s="7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customFormat="1" ht="15" x14ac:dyDescent="0.4">
      <c r="A14" s="1"/>
      <c r="B14" s="30"/>
      <c r="C14" s="217" t="s">
        <v>364</v>
      </c>
      <c r="D14" s="438">
        <v>1.9</v>
      </c>
      <c r="E14" s="438">
        <v>1.8</v>
      </c>
      <c r="F14" s="438">
        <v>1.7</v>
      </c>
      <c r="G14" s="438">
        <v>1.7</v>
      </c>
      <c r="H14" s="439">
        <v>1.8</v>
      </c>
      <c r="I14" s="29"/>
      <c r="J14" s="7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customFormat="1" ht="15" x14ac:dyDescent="0.4">
      <c r="A15" s="1"/>
      <c r="B15" s="30"/>
      <c r="C15" s="218" t="s">
        <v>365</v>
      </c>
      <c r="D15" s="438">
        <v>2.7</v>
      </c>
      <c r="E15" s="438">
        <v>1.5</v>
      </c>
      <c r="F15" s="438">
        <v>1.8</v>
      </c>
      <c r="G15" s="438">
        <v>1.6</v>
      </c>
      <c r="H15" s="439">
        <v>1.8</v>
      </c>
      <c r="I15" s="29"/>
      <c r="J15" s="7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customFormat="1" ht="15" x14ac:dyDescent="0.4">
      <c r="A16" s="1"/>
      <c r="B16" s="30"/>
      <c r="C16" s="218" t="s">
        <v>366</v>
      </c>
      <c r="D16" s="438">
        <v>1.8</v>
      </c>
      <c r="E16" s="438">
        <v>1.5</v>
      </c>
      <c r="F16" s="438">
        <v>1.2</v>
      </c>
      <c r="G16" s="438">
        <v>0.7</v>
      </c>
      <c r="H16" s="439">
        <v>0.6</v>
      </c>
      <c r="I16" s="29"/>
      <c r="J16" s="7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customFormat="1" ht="15" x14ac:dyDescent="0.4">
      <c r="A17" s="1"/>
      <c r="B17" s="30"/>
      <c r="C17" s="218" t="s">
        <v>367</v>
      </c>
      <c r="D17" s="438">
        <v>1</v>
      </c>
      <c r="E17" s="438">
        <v>3</v>
      </c>
      <c r="F17" s="438">
        <v>-1.7</v>
      </c>
      <c r="G17" s="438">
        <v>1.2</v>
      </c>
      <c r="H17" s="439">
        <v>2</v>
      </c>
      <c r="I17" s="29"/>
      <c r="J17" s="7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customFormat="1" ht="15" x14ac:dyDescent="0.4">
      <c r="A18" s="1"/>
      <c r="B18" s="30"/>
      <c r="C18" s="218" t="s">
        <v>460</v>
      </c>
      <c r="D18" s="438">
        <v>4.9000000000000004</v>
      </c>
      <c r="E18" s="438">
        <v>3.4</v>
      </c>
      <c r="F18" s="438">
        <v>3.1</v>
      </c>
      <c r="G18" s="438">
        <v>2</v>
      </c>
      <c r="H18" s="439">
        <v>1.8</v>
      </c>
      <c r="I18" s="29"/>
      <c r="J18" s="7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customFormat="1" ht="15" x14ac:dyDescent="0.4">
      <c r="A19" s="1"/>
      <c r="B19" s="30"/>
      <c r="C19" s="218" t="s">
        <v>461</v>
      </c>
      <c r="D19" s="438">
        <v>5.2</v>
      </c>
      <c r="E19" s="438">
        <v>3.3</v>
      </c>
      <c r="F19" s="438">
        <v>1.5</v>
      </c>
      <c r="G19" s="438">
        <v>1</v>
      </c>
      <c r="H19" s="439">
        <v>1.3</v>
      </c>
      <c r="I19" s="29"/>
      <c r="J19" s="7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customFormat="1" ht="15" x14ac:dyDescent="0.4">
      <c r="A20" s="1"/>
      <c r="B20" s="30"/>
      <c r="C20" s="217" t="s">
        <v>16</v>
      </c>
      <c r="D20" s="438"/>
      <c r="E20" s="438"/>
      <c r="F20" s="438"/>
      <c r="G20" s="438"/>
      <c r="H20" s="439"/>
      <c r="I20" s="29"/>
      <c r="J20" s="7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customFormat="1" ht="15" x14ac:dyDescent="0.4">
      <c r="A21" s="1"/>
      <c r="B21" s="30"/>
      <c r="C21" s="219" t="s">
        <v>504</v>
      </c>
      <c r="D21" s="440">
        <v>3.5</v>
      </c>
      <c r="E21" s="440">
        <v>3.5</v>
      </c>
      <c r="F21" s="440">
        <v>2.8</v>
      </c>
      <c r="G21" s="440">
        <v>2.5</v>
      </c>
      <c r="H21" s="441">
        <v>2.2999999999999998</v>
      </c>
      <c r="I21" s="29"/>
      <c r="J21" s="7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customFormat="1" ht="15" x14ac:dyDescent="0.4">
      <c r="A22" s="1"/>
      <c r="B22" s="30"/>
      <c r="C22" s="442" t="s">
        <v>503</v>
      </c>
      <c r="D22" s="14"/>
      <c r="E22" s="14"/>
      <c r="F22" s="14"/>
      <c r="G22" s="14"/>
      <c r="H22" s="14"/>
      <c r="I22" s="29"/>
      <c r="J22" s="7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customFormat="1" ht="15" x14ac:dyDescent="0.4">
      <c r="A23" s="1"/>
      <c r="B23" s="30"/>
      <c r="C23" s="17"/>
      <c r="D23" s="14"/>
      <c r="E23" s="14"/>
      <c r="F23" s="14"/>
      <c r="G23" s="14"/>
      <c r="H23" s="14"/>
      <c r="I23" s="29"/>
      <c r="J23" s="7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customFormat="1" ht="9.4499999999999993" customHeight="1" x14ac:dyDescent="0.4">
      <c r="A24" s="1"/>
      <c r="B24" s="30"/>
      <c r="C24" s="19"/>
      <c r="D24" s="14"/>
      <c r="E24" s="14"/>
      <c r="F24" s="14"/>
      <c r="G24" s="14"/>
      <c r="H24" s="14"/>
      <c r="I24" s="29"/>
      <c r="J24" s="7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customFormat="1" ht="27" customHeight="1" x14ac:dyDescent="0.4">
      <c r="A25" s="1"/>
      <c r="B25" s="558" t="s">
        <v>349</v>
      </c>
      <c r="C25" s="559"/>
      <c r="D25" s="559"/>
      <c r="E25" s="559"/>
      <c r="F25" s="559"/>
      <c r="G25" s="559"/>
      <c r="H25" s="559"/>
      <c r="I25" s="563"/>
      <c r="J25" s="7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customFormat="1" ht="15" x14ac:dyDescent="0.4">
      <c r="A26" s="1"/>
      <c r="B26" s="24"/>
      <c r="C26" s="15"/>
      <c r="D26" s="15"/>
      <c r="E26" s="15"/>
      <c r="F26" s="15"/>
      <c r="G26" s="15"/>
      <c r="H26" s="15"/>
      <c r="I26" s="25"/>
      <c r="J26" s="7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customFormat="1" ht="15" x14ac:dyDescent="0.4">
      <c r="A27" s="1"/>
      <c r="B27" s="558" t="s">
        <v>309</v>
      </c>
      <c r="C27" s="559"/>
      <c r="D27" s="559"/>
      <c r="E27" s="559"/>
      <c r="F27" s="559"/>
      <c r="G27" s="559"/>
      <c r="H27" s="15"/>
      <c r="I27" s="25"/>
      <c r="J27" s="7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customFormat="1" ht="15" x14ac:dyDescent="0.4">
      <c r="A28" s="1"/>
      <c r="B28" s="24"/>
      <c r="C28" s="15"/>
      <c r="D28" s="15"/>
      <c r="E28" s="15"/>
      <c r="F28" s="15"/>
      <c r="G28" s="15"/>
      <c r="H28" s="15"/>
      <c r="I28" s="25"/>
      <c r="J28" s="7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customFormat="1" ht="15" x14ac:dyDescent="0.4">
      <c r="A29" s="1"/>
      <c r="B29" s="558" t="s">
        <v>308</v>
      </c>
      <c r="C29" s="559"/>
      <c r="D29" s="559"/>
      <c r="E29" s="559"/>
      <c r="F29" s="559"/>
      <c r="G29" s="559"/>
      <c r="H29" s="71"/>
      <c r="I29" s="72"/>
      <c r="J29" s="7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customFormat="1" ht="15" x14ac:dyDescent="0.4">
      <c r="A30" s="1"/>
      <c r="B30" s="31"/>
      <c r="C30" s="15"/>
      <c r="D30" s="15"/>
      <c r="E30" s="15"/>
      <c r="F30" s="15"/>
      <c r="G30" s="15"/>
      <c r="H30" s="15"/>
      <c r="I30" s="25"/>
      <c r="J30" s="7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customFormat="1" ht="15" x14ac:dyDescent="0.4">
      <c r="A31" s="1"/>
      <c r="B31" s="32"/>
      <c r="C31" s="18"/>
      <c r="D31" s="18"/>
      <c r="E31" s="18"/>
      <c r="F31" s="18"/>
      <c r="G31" s="18"/>
      <c r="H31" s="18"/>
      <c r="I31" s="33"/>
      <c r="J31" s="7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customFormat="1" ht="17.600000000000001" x14ac:dyDescent="0.4">
      <c r="A32" s="1"/>
      <c r="B32" s="87" t="s">
        <v>18</v>
      </c>
      <c r="C32" s="83"/>
      <c r="D32" s="83"/>
      <c r="E32" s="83"/>
      <c r="F32" s="83"/>
      <c r="G32" s="83"/>
      <c r="H32" s="83"/>
      <c r="I32" s="84"/>
      <c r="J32" s="7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customFormat="1" ht="15" x14ac:dyDescent="0.4">
      <c r="A33" s="1"/>
      <c r="B33" s="31"/>
      <c r="C33" s="15"/>
      <c r="D33" s="15"/>
      <c r="E33" s="15"/>
      <c r="F33" s="15"/>
      <c r="G33" s="15"/>
      <c r="H33" s="15"/>
      <c r="I33" s="25"/>
      <c r="J33" s="7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customFormat="1" ht="24" customHeight="1" x14ac:dyDescent="0.4">
      <c r="A34" s="1"/>
      <c r="B34" s="558" t="s">
        <v>310</v>
      </c>
      <c r="C34" s="559"/>
      <c r="D34" s="559"/>
      <c r="E34" s="559"/>
      <c r="F34" s="559"/>
      <c r="G34" s="559"/>
      <c r="H34" s="559"/>
      <c r="I34" s="72"/>
      <c r="J34" s="7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customFormat="1" ht="25.5" customHeight="1" x14ac:dyDescent="0.4">
      <c r="A35" s="1"/>
      <c r="B35" s="558" t="s">
        <v>453</v>
      </c>
      <c r="C35" s="559"/>
      <c r="D35" s="559"/>
      <c r="E35" s="559"/>
      <c r="F35" s="559"/>
      <c r="G35" s="559"/>
      <c r="H35" s="559"/>
      <c r="I35" s="25"/>
      <c r="J35" s="7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customFormat="1" ht="29.25" customHeight="1" x14ac:dyDescent="0.4">
      <c r="A36" s="1"/>
      <c r="B36" s="558" t="s">
        <v>314</v>
      </c>
      <c r="C36" s="559"/>
      <c r="D36" s="559"/>
      <c r="E36" s="559"/>
      <c r="F36" s="559"/>
      <c r="G36" s="559"/>
      <c r="H36" s="559"/>
      <c r="I36" s="34"/>
      <c r="J36" s="7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customFormat="1" ht="18" customHeight="1" x14ac:dyDescent="0.4">
      <c r="A37" s="1"/>
      <c r="B37" s="558" t="s">
        <v>313</v>
      </c>
      <c r="C37" s="559"/>
      <c r="D37" s="559"/>
      <c r="E37" s="559"/>
      <c r="F37" s="559"/>
      <c r="G37" s="559"/>
      <c r="H37" s="559"/>
      <c r="I37" s="34"/>
      <c r="J37" s="7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customFormat="1" ht="22.5" customHeight="1" x14ac:dyDescent="0.4">
      <c r="A38" s="1"/>
      <c r="B38" s="556" t="s">
        <v>311</v>
      </c>
      <c r="C38" s="557"/>
      <c r="D38" s="557"/>
      <c r="E38" s="557"/>
      <c r="F38" s="557"/>
      <c r="G38" s="557"/>
      <c r="H38" s="557"/>
      <c r="I38" s="34"/>
      <c r="J38" s="7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customFormat="1" ht="15" x14ac:dyDescent="0.4">
      <c r="A39" s="1"/>
      <c r="B39" s="35"/>
      <c r="C39" s="20"/>
      <c r="D39" s="20"/>
      <c r="E39" s="20"/>
      <c r="F39" s="20"/>
      <c r="G39" s="20"/>
      <c r="H39" s="20"/>
      <c r="I39" s="34"/>
      <c r="J39" s="7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customFormat="1" ht="15" x14ac:dyDescent="0.4">
      <c r="A40" s="1"/>
      <c r="B40" s="35"/>
      <c r="C40" s="20"/>
      <c r="D40" s="20"/>
      <c r="E40" s="20"/>
      <c r="F40" s="20"/>
      <c r="G40" s="20"/>
      <c r="H40" s="20"/>
      <c r="I40" s="34"/>
      <c r="J40" s="7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customFormat="1" ht="15" x14ac:dyDescent="0.4">
      <c r="A41" s="1"/>
      <c r="B41" s="35"/>
      <c r="C41" s="20"/>
      <c r="D41" s="20"/>
      <c r="E41" s="20"/>
      <c r="F41" s="20"/>
      <c r="G41" s="20"/>
      <c r="H41" s="20"/>
      <c r="I41" s="34"/>
      <c r="J41" s="7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customFormat="1" ht="15" customHeight="1" x14ac:dyDescent="0.4">
      <c r="A42" s="1"/>
      <c r="B42" s="35"/>
      <c r="C42" s="20"/>
      <c r="D42" s="20"/>
      <c r="E42" s="20"/>
      <c r="F42" s="20"/>
      <c r="G42" s="20"/>
      <c r="H42" s="20"/>
      <c r="I42" s="34"/>
      <c r="J42" s="7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customFormat="1" ht="15" customHeight="1" x14ac:dyDescent="0.4">
      <c r="A43" s="1"/>
      <c r="B43" s="85"/>
      <c r="C43" s="76"/>
      <c r="D43" s="76"/>
      <c r="E43" s="76"/>
      <c r="F43" s="76"/>
      <c r="G43" s="76"/>
      <c r="H43" s="76"/>
      <c r="I43" s="34"/>
      <c r="J43" s="7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customFormat="1" ht="15" x14ac:dyDescent="0.4">
      <c r="A44" s="1"/>
      <c r="B44" s="36"/>
      <c r="C44" s="21"/>
      <c r="D44" s="21"/>
      <c r="E44" s="21"/>
      <c r="F44" s="21"/>
      <c r="G44" s="21"/>
      <c r="H44" s="21"/>
      <c r="I44" s="37"/>
      <c r="J44" s="7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customFormat="1" ht="15" x14ac:dyDescent="0.4">
      <c r="A45" s="1"/>
      <c r="B45" s="85"/>
      <c r="C45" s="76"/>
      <c r="D45" s="76"/>
      <c r="E45" s="76"/>
      <c r="F45" s="76"/>
      <c r="G45" s="76"/>
      <c r="H45" s="76"/>
      <c r="I45" s="34"/>
      <c r="J45" s="7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customFormat="1" ht="15" x14ac:dyDescent="0.4">
      <c r="A46" s="1"/>
      <c r="B46" s="85"/>
      <c r="C46" s="76"/>
      <c r="D46" s="76"/>
      <c r="E46" s="76"/>
      <c r="F46" s="76"/>
      <c r="G46" s="76"/>
      <c r="H46" s="76"/>
      <c r="I46" s="34"/>
      <c r="J46" s="7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customFormat="1" ht="15" x14ac:dyDescent="0.4">
      <c r="A47" s="1"/>
      <c r="B47" s="35"/>
      <c r="C47" s="20"/>
      <c r="D47" s="20"/>
      <c r="E47" s="20"/>
      <c r="F47" s="20"/>
      <c r="G47" s="20"/>
      <c r="H47" s="20"/>
      <c r="I47" s="34"/>
      <c r="J47" s="7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customFormat="1" ht="15" x14ac:dyDescent="0.4">
      <c r="A48" s="1"/>
      <c r="B48" s="35"/>
      <c r="C48" s="20"/>
      <c r="D48" s="20"/>
      <c r="E48" s="20"/>
      <c r="F48" s="20"/>
      <c r="G48" s="20"/>
      <c r="H48" s="20"/>
      <c r="I48" s="34"/>
      <c r="J48" s="7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customFormat="1" ht="15" x14ac:dyDescent="0.4">
      <c r="A49" s="1"/>
      <c r="B49" s="35"/>
      <c r="C49" s="20"/>
      <c r="D49" s="20"/>
      <c r="E49" s="20"/>
      <c r="F49" s="20"/>
      <c r="G49" s="20"/>
      <c r="H49" s="20"/>
      <c r="I49" s="34"/>
      <c r="J49" s="7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customFormat="1" ht="15" x14ac:dyDescent="0.4">
      <c r="A50" s="1"/>
      <c r="B50" s="35"/>
      <c r="C50" s="20"/>
      <c r="D50" s="20"/>
      <c r="E50" s="20"/>
      <c r="F50" s="20"/>
      <c r="G50" s="20"/>
      <c r="H50" s="20"/>
      <c r="I50" s="34"/>
      <c r="J50" s="7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customFormat="1" ht="15" x14ac:dyDescent="0.4">
      <c r="A51" s="1"/>
      <c r="B51" s="35"/>
      <c r="C51" s="20"/>
      <c r="D51" s="20"/>
      <c r="E51" s="20"/>
      <c r="F51" s="20"/>
      <c r="G51" s="20"/>
      <c r="H51" s="20"/>
      <c r="I51" s="34"/>
      <c r="J51" s="7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customFormat="1" ht="15" x14ac:dyDescent="0.4">
      <c r="A52" s="1"/>
      <c r="B52" s="556" t="s">
        <v>312</v>
      </c>
      <c r="C52" s="557"/>
      <c r="D52" s="557"/>
      <c r="E52" s="557"/>
      <c r="F52" s="557"/>
      <c r="G52" s="557"/>
      <c r="H52" s="557"/>
      <c r="I52" s="34"/>
      <c r="J52" s="7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customFormat="1" ht="15" customHeight="1" x14ac:dyDescent="0.4">
      <c r="A53" s="1"/>
      <c r="B53" s="35"/>
      <c r="C53" s="20"/>
      <c r="D53" s="20"/>
      <c r="E53" s="20"/>
      <c r="F53" s="20"/>
      <c r="G53" s="20"/>
      <c r="H53" s="20"/>
      <c r="I53" s="34"/>
      <c r="J53" s="7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customFormat="1" ht="15" x14ac:dyDescent="0.4">
      <c r="A54" s="1"/>
      <c r="B54" s="35"/>
      <c r="C54" s="20"/>
      <c r="D54" s="20"/>
      <c r="E54" s="20"/>
      <c r="F54" s="20"/>
      <c r="G54" s="20"/>
      <c r="H54" s="20"/>
      <c r="I54" s="34"/>
      <c r="J54" s="7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customFormat="1" ht="15" x14ac:dyDescent="0.4">
      <c r="A55" s="1"/>
      <c r="B55" s="35"/>
      <c r="C55" s="20"/>
      <c r="D55" s="20"/>
      <c r="E55" s="20"/>
      <c r="F55" s="20"/>
      <c r="G55" s="20"/>
      <c r="H55" s="20"/>
      <c r="I55" s="34"/>
      <c r="J55" s="7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customFormat="1" ht="15" x14ac:dyDescent="0.4">
      <c r="A56" s="1"/>
      <c r="B56" s="35"/>
      <c r="C56" s="20"/>
      <c r="D56" s="20"/>
      <c r="E56" s="20"/>
      <c r="F56" s="20"/>
      <c r="G56" s="20"/>
      <c r="H56" s="20"/>
      <c r="I56" s="34"/>
      <c r="J56" s="7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customFormat="1" ht="15" x14ac:dyDescent="0.4">
      <c r="A57" s="1"/>
      <c r="B57" s="35"/>
      <c r="C57" s="20"/>
      <c r="D57" s="20"/>
      <c r="E57" s="20"/>
      <c r="F57" s="20"/>
      <c r="G57" s="20"/>
      <c r="H57" s="20"/>
      <c r="I57" s="34"/>
      <c r="J57" s="7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customFormat="1" ht="15" x14ac:dyDescent="0.4">
      <c r="A58" s="1"/>
      <c r="B58" s="35"/>
      <c r="C58" s="20"/>
      <c r="D58" s="20"/>
      <c r="E58" s="20"/>
      <c r="F58" s="20"/>
      <c r="G58" s="20"/>
      <c r="H58" s="20"/>
      <c r="I58" s="34"/>
      <c r="J58" s="7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customFormat="1" ht="15" x14ac:dyDescent="0.4">
      <c r="A59" s="1"/>
      <c r="B59" s="35"/>
      <c r="C59" s="20"/>
      <c r="D59" s="20"/>
      <c r="E59" s="20"/>
      <c r="F59" s="20"/>
      <c r="G59" s="20"/>
      <c r="H59" s="20"/>
      <c r="I59" s="34"/>
      <c r="J59" s="7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customFormat="1" ht="15" x14ac:dyDescent="0.4">
      <c r="A60" s="1"/>
      <c r="B60" s="35"/>
      <c r="C60" s="20"/>
      <c r="D60" s="20"/>
      <c r="E60" s="20"/>
      <c r="F60" s="20"/>
      <c r="G60" s="20"/>
      <c r="H60" s="20"/>
      <c r="I60" s="34"/>
      <c r="J60" s="7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customFormat="1" ht="15" x14ac:dyDescent="0.4">
      <c r="A61" s="1"/>
      <c r="B61" s="36"/>
      <c r="C61" s="21"/>
      <c r="D61" s="21"/>
      <c r="E61" s="21"/>
      <c r="F61" s="21"/>
      <c r="G61" s="21"/>
      <c r="H61" s="21"/>
      <c r="I61" s="37"/>
      <c r="J61" s="7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customFormat="1" ht="15" x14ac:dyDescent="0.4">
      <c r="A62" s="1"/>
      <c r="B62" s="85"/>
      <c r="C62" s="76"/>
      <c r="D62" s="76"/>
      <c r="E62" s="76"/>
      <c r="F62" s="76"/>
      <c r="G62" s="76"/>
      <c r="H62" s="76"/>
      <c r="I62" s="34"/>
      <c r="J62" s="7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customFormat="1" ht="15" x14ac:dyDescent="0.4">
      <c r="A63" s="1"/>
      <c r="B63" s="35"/>
      <c r="C63" s="20"/>
      <c r="D63" s="20"/>
      <c r="E63" s="20"/>
      <c r="F63" s="20"/>
      <c r="G63" s="20"/>
      <c r="H63" s="20"/>
      <c r="I63" s="34"/>
      <c r="J63" s="7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customFormat="1" ht="15" x14ac:dyDescent="0.4">
      <c r="A64" s="1"/>
      <c r="B64" s="35"/>
      <c r="C64" s="20"/>
      <c r="D64" s="20"/>
      <c r="E64" s="20"/>
      <c r="F64" s="20"/>
      <c r="G64" s="20"/>
      <c r="H64" s="20"/>
      <c r="I64" s="34"/>
      <c r="J64" s="7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customFormat="1" ht="7.3" customHeight="1" x14ac:dyDescent="0.4">
      <c r="A65" s="1"/>
      <c r="B65" s="35"/>
      <c r="C65" s="20"/>
      <c r="D65" s="20"/>
      <c r="E65" s="20"/>
      <c r="F65" s="20"/>
      <c r="G65" s="20"/>
      <c r="H65" s="20"/>
      <c r="I65" s="34"/>
      <c r="J65" s="7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customFormat="1" ht="10.3" customHeight="1" x14ac:dyDescent="0.4">
      <c r="A66" s="1"/>
      <c r="B66" s="35"/>
      <c r="C66" s="20"/>
      <c r="D66" s="20"/>
      <c r="E66" s="20"/>
      <c r="F66" s="20"/>
      <c r="G66" s="20"/>
      <c r="H66" s="20"/>
      <c r="I66" s="34"/>
      <c r="J66" s="7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customFormat="1" ht="6" customHeight="1" x14ac:dyDescent="0.4">
      <c r="A67" s="1"/>
      <c r="B67" s="35"/>
      <c r="C67" s="20"/>
      <c r="D67" s="20"/>
      <c r="E67" s="20"/>
      <c r="F67" s="20"/>
      <c r="G67" s="20"/>
      <c r="H67" s="20"/>
      <c r="I67" s="34"/>
      <c r="J67" s="7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customFormat="1" ht="8.6" customHeight="1" x14ac:dyDescent="0.4">
      <c r="A68" s="1"/>
      <c r="B68" s="35"/>
      <c r="C68" s="20"/>
      <c r="D68" s="20"/>
      <c r="E68" s="20"/>
      <c r="F68" s="20"/>
      <c r="G68" s="20"/>
      <c r="H68" s="20"/>
      <c r="I68" s="34"/>
      <c r="J68" s="7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customFormat="1" ht="15" x14ac:dyDescent="0.4">
      <c r="A69" s="1"/>
      <c r="B69" s="35"/>
      <c r="C69" s="20"/>
      <c r="D69" s="20"/>
      <c r="E69" s="20"/>
      <c r="F69" s="20"/>
      <c r="G69" s="20"/>
      <c r="H69" s="20"/>
      <c r="I69" s="34"/>
      <c r="J69" s="7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customFormat="1" ht="21" customHeight="1" x14ac:dyDescent="0.4">
      <c r="A70" s="1"/>
      <c r="B70" s="558" t="s">
        <v>315</v>
      </c>
      <c r="C70" s="559"/>
      <c r="D70" s="559"/>
      <c r="E70" s="559"/>
      <c r="F70" s="559"/>
      <c r="G70" s="20"/>
      <c r="H70" s="20"/>
      <c r="I70" s="34"/>
      <c r="J70" s="7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customFormat="1" ht="24" customHeight="1" x14ac:dyDescent="0.4">
      <c r="A71" s="1"/>
      <c r="B71" s="556" t="s">
        <v>472</v>
      </c>
      <c r="C71" s="557"/>
      <c r="D71" s="557"/>
      <c r="E71" s="557"/>
      <c r="F71" s="557"/>
      <c r="G71" s="557"/>
      <c r="H71" s="557"/>
      <c r="I71" s="34"/>
      <c r="J71" s="7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customFormat="1" ht="15" x14ac:dyDescent="0.4">
      <c r="A72" s="1"/>
      <c r="B72" s="35"/>
      <c r="C72" s="20"/>
      <c r="D72" s="20"/>
      <c r="E72" s="20"/>
      <c r="F72" s="20"/>
      <c r="G72" s="20"/>
      <c r="H72" s="20"/>
      <c r="I72" s="34"/>
      <c r="J72" s="7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customFormat="1" ht="15" x14ac:dyDescent="0.4">
      <c r="A73" s="1"/>
      <c r="B73" s="35"/>
      <c r="C73" s="20"/>
      <c r="D73" s="20"/>
      <c r="E73" s="20"/>
      <c r="F73" s="20"/>
      <c r="G73" s="20"/>
      <c r="H73" s="20"/>
      <c r="I73" s="34"/>
      <c r="J73" s="7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customFormat="1" ht="15" x14ac:dyDescent="0.4">
      <c r="A74" s="1"/>
      <c r="B74" s="35"/>
      <c r="C74" s="20"/>
      <c r="D74" s="20"/>
      <c r="E74" s="20"/>
      <c r="F74" s="20"/>
      <c r="G74" s="20"/>
      <c r="H74" s="20"/>
      <c r="I74" s="34"/>
      <c r="J74" s="7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customFormat="1" ht="15" x14ac:dyDescent="0.4">
      <c r="A75" s="1"/>
      <c r="B75" s="556"/>
      <c r="C75" s="557"/>
      <c r="D75" s="557"/>
      <c r="E75" s="557"/>
      <c r="F75" s="557"/>
      <c r="G75" s="557"/>
      <c r="H75" s="557"/>
      <c r="I75" s="34"/>
      <c r="J75" s="7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customFormat="1" ht="15" x14ac:dyDescent="0.4">
      <c r="A76" s="1"/>
      <c r="B76" s="35"/>
      <c r="C76" s="20"/>
      <c r="D76" s="20"/>
      <c r="E76" s="20"/>
      <c r="F76" s="20"/>
      <c r="G76" s="20"/>
      <c r="H76" s="20"/>
      <c r="I76" s="34"/>
      <c r="J76" s="7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customFormat="1" ht="15" x14ac:dyDescent="0.4">
      <c r="A77" s="1"/>
      <c r="B77" s="35"/>
      <c r="C77" s="20"/>
      <c r="D77" s="20"/>
      <c r="E77" s="20"/>
      <c r="F77" s="20"/>
      <c r="G77" s="20"/>
      <c r="H77" s="20"/>
      <c r="I77" s="34"/>
      <c r="J77" s="7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customFormat="1" ht="15" x14ac:dyDescent="0.4">
      <c r="A78" s="1"/>
      <c r="B78" s="35"/>
      <c r="C78" s="20"/>
      <c r="D78" s="20"/>
      <c r="E78" s="20"/>
      <c r="F78" s="20"/>
      <c r="G78" s="20"/>
      <c r="H78" s="20"/>
      <c r="I78" s="34"/>
      <c r="J78" s="7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customFormat="1" ht="15" x14ac:dyDescent="0.4">
      <c r="A79" s="1"/>
      <c r="B79" s="85"/>
      <c r="C79" s="76"/>
      <c r="D79" s="76"/>
      <c r="E79" s="76"/>
      <c r="F79" s="76"/>
      <c r="G79" s="76"/>
      <c r="H79" s="76"/>
      <c r="I79" s="34"/>
      <c r="J79" s="7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customFormat="1" ht="15" x14ac:dyDescent="0.4">
      <c r="A80" s="1"/>
      <c r="B80" s="35"/>
      <c r="C80" s="20"/>
      <c r="D80" s="20"/>
      <c r="E80" s="20"/>
      <c r="F80" s="20"/>
      <c r="G80" s="20"/>
      <c r="H80" s="20"/>
      <c r="I80" s="34"/>
      <c r="J80" s="7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customFormat="1" ht="15" x14ac:dyDescent="0.4">
      <c r="A81" s="1"/>
      <c r="B81" s="35"/>
      <c r="C81" s="20"/>
      <c r="D81" s="20"/>
      <c r="E81" s="20"/>
      <c r="F81" s="20"/>
      <c r="G81" s="20"/>
      <c r="H81" s="20"/>
      <c r="I81" s="34"/>
      <c r="J81" s="7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customFormat="1" ht="15" x14ac:dyDescent="0.4">
      <c r="A82" s="1"/>
      <c r="B82" s="85"/>
      <c r="C82" s="76"/>
      <c r="D82" s="76"/>
      <c r="E82" s="76"/>
      <c r="F82" s="76"/>
      <c r="G82" s="76"/>
      <c r="H82" s="20"/>
      <c r="I82" s="34"/>
      <c r="J82" s="7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customFormat="1" ht="15" x14ac:dyDescent="0.4">
      <c r="A83" s="1"/>
      <c r="B83" s="85"/>
      <c r="C83" s="20"/>
      <c r="D83" s="20"/>
      <c r="E83" s="20"/>
      <c r="F83" s="20"/>
      <c r="G83" s="20"/>
      <c r="H83" s="20"/>
      <c r="I83" s="34"/>
      <c r="J83" s="7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customFormat="1" ht="15" x14ac:dyDescent="0.4">
      <c r="A84" s="1"/>
      <c r="B84" s="35"/>
      <c r="C84" s="20"/>
      <c r="D84" s="20"/>
      <c r="E84" s="20"/>
      <c r="F84" s="20"/>
      <c r="G84" s="20"/>
      <c r="H84" s="20"/>
      <c r="I84" s="34"/>
      <c r="J84" s="7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customFormat="1" ht="15" x14ac:dyDescent="0.4">
      <c r="A85" s="1"/>
      <c r="B85" s="35"/>
      <c r="C85" s="20"/>
      <c r="D85" s="20"/>
      <c r="E85" s="20"/>
      <c r="F85" s="20"/>
      <c r="G85" s="20"/>
      <c r="H85" s="20"/>
      <c r="I85" s="34"/>
      <c r="J85" s="7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customFormat="1" ht="15" x14ac:dyDescent="0.4">
      <c r="A86" s="1"/>
      <c r="B86" s="35"/>
      <c r="C86" s="20"/>
      <c r="D86" s="20"/>
      <c r="E86" s="20"/>
      <c r="F86" s="20"/>
      <c r="G86" s="20"/>
      <c r="H86" s="20"/>
      <c r="I86" s="34"/>
      <c r="J86" s="7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customFormat="1" ht="3.75" customHeight="1" x14ac:dyDescent="0.4">
      <c r="A87" s="1"/>
      <c r="B87" s="35"/>
      <c r="C87" s="20"/>
      <c r="D87" s="20"/>
      <c r="E87" s="20"/>
      <c r="F87" s="20"/>
      <c r="G87" s="20"/>
      <c r="H87" s="20"/>
      <c r="I87" s="34"/>
      <c r="J87" s="7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customFormat="1" ht="11.25" hidden="1" customHeight="1" x14ac:dyDescent="0.4">
      <c r="A88" s="1"/>
      <c r="B88" s="35"/>
      <c r="C88" s="20"/>
      <c r="D88" s="20"/>
      <c r="E88" s="20"/>
      <c r="F88" s="20"/>
      <c r="G88" s="20"/>
      <c r="H88" s="20"/>
      <c r="I88" s="34"/>
      <c r="J88" s="7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customFormat="1" ht="15" hidden="1" x14ac:dyDescent="0.4">
      <c r="A89" s="1"/>
      <c r="B89" s="35"/>
      <c r="C89" s="20"/>
      <c r="D89" s="20"/>
      <c r="E89" s="20"/>
      <c r="F89" s="20"/>
      <c r="G89" s="20"/>
      <c r="H89" s="20"/>
      <c r="I89" s="34"/>
      <c r="J89" s="7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customFormat="1" ht="15" hidden="1" x14ac:dyDescent="0.4">
      <c r="A90" s="1"/>
      <c r="B90" s="85"/>
      <c r="C90" s="76"/>
      <c r="D90" s="76"/>
      <c r="E90" s="76"/>
      <c r="F90" s="76"/>
      <c r="G90" s="76"/>
      <c r="H90" s="20"/>
      <c r="I90" s="34"/>
      <c r="J90" s="7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customFormat="1" ht="15" x14ac:dyDescent="0.4">
      <c r="A91" s="1"/>
      <c r="B91" s="554"/>
      <c r="C91" s="555"/>
      <c r="D91" s="555"/>
      <c r="E91" s="555"/>
      <c r="F91" s="555"/>
      <c r="G91" s="555"/>
      <c r="H91" s="20"/>
      <c r="I91" s="34"/>
      <c r="J91" s="7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customFormat="1" ht="15" x14ac:dyDescent="0.4">
      <c r="A92" s="1"/>
      <c r="B92" s="556" t="s">
        <v>316</v>
      </c>
      <c r="C92" s="557"/>
      <c r="D92" s="557"/>
      <c r="E92" s="557"/>
      <c r="F92" s="557"/>
      <c r="G92" s="557"/>
      <c r="H92" s="557"/>
      <c r="I92" s="34"/>
      <c r="J92" s="7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customFormat="1" ht="7.3" customHeight="1" x14ac:dyDescent="0.4">
      <c r="A93" s="1"/>
      <c r="B93" s="35"/>
      <c r="C93" s="20"/>
      <c r="D93" s="20"/>
      <c r="E93" s="20"/>
      <c r="F93" s="20"/>
      <c r="G93" s="20"/>
      <c r="H93" s="20"/>
      <c r="I93" s="34"/>
      <c r="J93" s="7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customFormat="1" ht="35.6" customHeight="1" x14ac:dyDescent="0.4">
      <c r="A94" s="1"/>
      <c r="B94" s="556" t="s">
        <v>473</v>
      </c>
      <c r="C94" s="557"/>
      <c r="D94" s="557"/>
      <c r="E94" s="557"/>
      <c r="F94" s="557"/>
      <c r="G94" s="557"/>
      <c r="H94" s="557"/>
      <c r="I94" s="34"/>
      <c r="J94" s="7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customFormat="1" ht="4.3" customHeight="1" x14ac:dyDescent="0.4">
      <c r="A95" s="1"/>
      <c r="B95" s="85"/>
      <c r="C95" s="76"/>
      <c r="D95" s="76"/>
      <c r="E95" s="76"/>
      <c r="F95" s="76"/>
      <c r="G95" s="76"/>
      <c r="H95" s="20"/>
      <c r="I95" s="34"/>
      <c r="J95" s="7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customFormat="1" ht="2.6" customHeight="1" x14ac:dyDescent="0.4">
      <c r="A96" s="1"/>
      <c r="B96" s="554"/>
      <c r="C96" s="555"/>
      <c r="D96" s="555"/>
      <c r="E96" s="555"/>
      <c r="F96" s="555"/>
      <c r="G96" s="555"/>
      <c r="H96" s="20"/>
      <c r="I96" s="34"/>
      <c r="J96" s="7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customFormat="1" ht="3.9" customHeight="1" x14ac:dyDescent="0.4">
      <c r="A97" s="1"/>
      <c r="B97" s="85"/>
      <c r="C97" s="76"/>
      <c r="D97" s="76"/>
      <c r="E97" s="76"/>
      <c r="F97" s="76"/>
      <c r="G97" s="76"/>
      <c r="H97" s="76"/>
      <c r="I97" s="34"/>
      <c r="J97" s="7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customFormat="1" ht="5.6" customHeight="1" x14ac:dyDescent="0.4">
      <c r="A98" s="1"/>
      <c r="B98" s="38"/>
      <c r="C98" s="39"/>
      <c r="D98" s="39"/>
      <c r="E98" s="39"/>
      <c r="F98" s="39"/>
      <c r="G98" s="39"/>
      <c r="H98" s="39"/>
      <c r="I98" s="40"/>
      <c r="J98" s="7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customFormat="1" ht="15" x14ac:dyDescent="0.4">
      <c r="A99" s="1"/>
      <c r="B99" s="86"/>
      <c r="C99" s="86"/>
      <c r="D99" s="86"/>
      <c r="E99" s="86"/>
      <c r="F99" s="86"/>
      <c r="G99" s="86"/>
      <c r="H99" s="86"/>
      <c r="I99" s="41"/>
      <c r="J99" s="7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customFormat="1" ht="15" x14ac:dyDescent="0.4">
      <c r="A100" s="1"/>
      <c r="B100" s="76"/>
      <c r="C100" s="76"/>
      <c r="D100" s="76"/>
      <c r="E100" s="76"/>
      <c r="F100" s="76"/>
      <c r="G100" s="76"/>
      <c r="H100" s="20"/>
      <c r="I100" s="20"/>
      <c r="J100" s="7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x14ac:dyDescent="0.4">
      <c r="B101" s="20"/>
      <c r="C101" s="20"/>
      <c r="D101" s="20"/>
      <c r="E101" s="20"/>
      <c r="F101" s="20"/>
      <c r="G101" s="20"/>
      <c r="H101" s="20"/>
      <c r="I101" s="20"/>
      <c r="J101" s="76"/>
    </row>
    <row r="102" spans="1:28" ht="15" hidden="1" x14ac:dyDescent="0.4">
      <c r="B102" s="20"/>
      <c r="C102" s="20"/>
      <c r="D102" s="20"/>
      <c r="E102" s="20"/>
      <c r="F102" s="20"/>
      <c r="G102" s="20"/>
      <c r="H102" s="20"/>
      <c r="I102" s="20"/>
      <c r="J102" s="76"/>
    </row>
    <row r="103" spans="1:28" ht="15" hidden="1" x14ac:dyDescent="0.4">
      <c r="B103" s="20"/>
      <c r="C103" s="20"/>
      <c r="D103" s="20"/>
      <c r="E103" s="20"/>
      <c r="F103" s="20"/>
      <c r="G103" s="20"/>
      <c r="H103" s="20"/>
      <c r="I103" s="20"/>
      <c r="J103" s="76"/>
    </row>
    <row r="104" spans="1:28" ht="15" hidden="1" x14ac:dyDescent="0.4">
      <c r="B104" s="20"/>
      <c r="C104" s="20"/>
      <c r="D104" s="20"/>
      <c r="E104" s="20"/>
      <c r="F104" s="20"/>
      <c r="G104" s="20"/>
      <c r="H104" s="20"/>
      <c r="I104" s="20"/>
      <c r="J104" s="76"/>
    </row>
    <row r="105" spans="1:28" ht="15" hidden="1" x14ac:dyDescent="0.4">
      <c r="B105" s="76"/>
      <c r="C105" s="76"/>
      <c r="D105" s="76"/>
      <c r="E105" s="76"/>
      <c r="F105" s="76"/>
      <c r="G105" s="76"/>
      <c r="H105" s="76"/>
      <c r="I105" s="20"/>
      <c r="J105" s="76"/>
    </row>
    <row r="106" spans="1:28" ht="15" hidden="1" x14ac:dyDescent="0.4">
      <c r="B106" s="20"/>
      <c r="C106" s="20"/>
      <c r="D106" s="20"/>
      <c r="E106" s="20"/>
      <c r="F106" s="20"/>
      <c r="G106" s="20"/>
      <c r="H106" s="20"/>
      <c r="I106" s="20"/>
      <c r="J106" s="76"/>
    </row>
    <row r="107" spans="1:28" ht="15" hidden="1" x14ac:dyDescent="0.4">
      <c r="B107" s="20"/>
      <c r="C107" s="20"/>
      <c r="D107" s="20"/>
      <c r="E107" s="20"/>
      <c r="F107" s="20"/>
      <c r="G107" s="20"/>
      <c r="H107" s="20"/>
      <c r="I107" s="20"/>
      <c r="J107" s="76"/>
    </row>
    <row r="108" spans="1:28" ht="15" hidden="1" x14ac:dyDescent="0.4">
      <c r="B108" s="20"/>
      <c r="C108" s="20"/>
      <c r="D108" s="20"/>
      <c r="E108" s="20"/>
      <c r="F108" s="20"/>
      <c r="G108" s="20"/>
      <c r="H108" s="20"/>
      <c r="I108" s="20"/>
      <c r="J108" s="76"/>
    </row>
    <row r="109" spans="1:28" ht="15" hidden="1" x14ac:dyDescent="0.4">
      <c r="B109" s="20"/>
      <c r="C109" s="20"/>
      <c r="D109" s="20"/>
      <c r="E109" s="20"/>
      <c r="F109" s="20"/>
      <c r="G109" s="20"/>
      <c r="H109" s="20"/>
      <c r="I109" s="20"/>
      <c r="J109" s="76"/>
    </row>
    <row r="110" spans="1:28" ht="15" hidden="1" x14ac:dyDescent="0.4">
      <c r="B110" s="76"/>
      <c r="C110" s="76"/>
      <c r="D110" s="76"/>
      <c r="E110" s="76"/>
      <c r="F110" s="76"/>
      <c r="G110" s="76"/>
      <c r="H110" s="76"/>
      <c r="I110" s="20"/>
      <c r="J110" s="76"/>
    </row>
    <row r="111" spans="1:28" ht="15" hidden="1" x14ac:dyDescent="0.4">
      <c r="B111" s="20"/>
      <c r="C111" s="20"/>
      <c r="D111" s="20"/>
      <c r="E111" s="20"/>
      <c r="F111" s="20"/>
      <c r="G111" s="20"/>
      <c r="H111" s="20"/>
      <c r="I111" s="20"/>
      <c r="J111" s="76"/>
    </row>
    <row r="112" spans="1:28" ht="15" hidden="1" x14ac:dyDescent="0.4">
      <c r="B112" s="20"/>
      <c r="C112" s="20"/>
      <c r="D112" s="20"/>
      <c r="E112" s="20"/>
      <c r="F112" s="20"/>
      <c r="G112" s="20"/>
      <c r="H112" s="20"/>
      <c r="I112" s="20"/>
      <c r="J112" s="76"/>
    </row>
    <row r="113" spans="2:10" ht="15" hidden="1" x14ac:dyDescent="0.4">
      <c r="B113" s="20"/>
      <c r="C113" s="20"/>
      <c r="D113" s="20"/>
      <c r="E113" s="20"/>
      <c r="F113" s="20"/>
      <c r="G113" s="20"/>
      <c r="H113" s="20"/>
      <c r="I113" s="20"/>
      <c r="J113" s="76"/>
    </row>
    <row r="114" spans="2:10" ht="15" hidden="1" x14ac:dyDescent="0.4">
      <c r="B114" s="20"/>
      <c r="C114" s="20"/>
      <c r="D114" s="20"/>
      <c r="E114" s="20"/>
      <c r="F114" s="20"/>
      <c r="G114" s="20"/>
      <c r="H114" s="20"/>
      <c r="I114" s="20"/>
      <c r="J114" s="76"/>
    </row>
    <row r="115" spans="2:10" ht="15" hidden="1" x14ac:dyDescent="0.4">
      <c r="B115" s="20"/>
      <c r="C115" s="20"/>
      <c r="D115" s="20"/>
      <c r="E115" s="20"/>
      <c r="F115" s="20"/>
      <c r="G115" s="20"/>
      <c r="H115" s="20"/>
      <c r="I115" s="20"/>
      <c r="J115" s="76"/>
    </row>
    <row r="116" spans="2:10" ht="15" hidden="1" x14ac:dyDescent="0.4">
      <c r="B116" s="20"/>
      <c r="C116" s="20"/>
      <c r="D116" s="20"/>
      <c r="E116" s="20"/>
      <c r="F116" s="20"/>
      <c r="G116" s="20"/>
      <c r="H116" s="20"/>
      <c r="I116" s="20"/>
      <c r="J116" s="76"/>
    </row>
    <row r="117" spans="2:10" ht="15" hidden="1" x14ac:dyDescent="0.4">
      <c r="B117" s="20"/>
      <c r="C117" s="20"/>
      <c r="D117" s="20"/>
      <c r="E117" s="20"/>
      <c r="F117" s="20"/>
      <c r="G117" s="20"/>
      <c r="H117" s="20"/>
      <c r="I117" s="20"/>
      <c r="J117" s="76"/>
    </row>
    <row r="118" spans="2:10" ht="15" hidden="1" x14ac:dyDescent="0.4">
      <c r="B118" s="76"/>
      <c r="C118" s="76"/>
      <c r="D118" s="76"/>
      <c r="E118" s="76"/>
      <c r="F118" s="76"/>
      <c r="G118" s="76"/>
      <c r="H118" s="76"/>
      <c r="I118" s="20"/>
      <c r="J118" s="76"/>
    </row>
    <row r="119" spans="2:10" ht="15" hidden="1" x14ac:dyDescent="0.4">
      <c r="B119" s="20"/>
      <c r="C119" s="20"/>
      <c r="D119" s="20"/>
      <c r="E119" s="20"/>
      <c r="F119" s="20"/>
      <c r="G119" s="20"/>
      <c r="H119" s="20"/>
      <c r="I119" s="20"/>
      <c r="J119" s="76"/>
    </row>
    <row r="120" spans="2:10" ht="15" hidden="1" x14ac:dyDescent="0.4">
      <c r="B120" s="76"/>
      <c r="C120" s="76"/>
      <c r="D120" s="76"/>
      <c r="E120" s="76"/>
      <c r="F120" s="76"/>
      <c r="G120" s="76"/>
      <c r="H120" s="76"/>
      <c r="I120" s="20"/>
      <c r="J120" s="76"/>
    </row>
    <row r="121" spans="2:10" ht="15" hidden="1" x14ac:dyDescent="0.4">
      <c r="B121" s="76"/>
      <c r="C121" s="76"/>
      <c r="D121" s="76"/>
      <c r="E121" s="76"/>
      <c r="F121" s="76"/>
      <c r="G121" s="76"/>
      <c r="H121" s="73"/>
      <c r="I121" s="20"/>
      <c r="J121" s="76"/>
    </row>
    <row r="122" spans="2:10" ht="15" hidden="1" x14ac:dyDescent="0.4">
      <c r="B122" s="74"/>
      <c r="C122" s="74"/>
      <c r="D122" s="74"/>
      <c r="E122" s="74"/>
      <c r="F122" s="74"/>
      <c r="G122" s="74"/>
      <c r="H122" s="73"/>
      <c r="I122" s="20"/>
      <c r="J122" s="76"/>
    </row>
    <row r="123" spans="2:10" ht="15" hidden="1" x14ac:dyDescent="0.4">
      <c r="B123" s="74"/>
      <c r="C123" s="74"/>
      <c r="D123" s="74"/>
      <c r="E123" s="74"/>
      <c r="F123" s="74"/>
      <c r="G123" s="74"/>
      <c r="H123" s="73"/>
      <c r="I123" s="20"/>
      <c r="J123" s="76"/>
    </row>
    <row r="124" spans="2:10" ht="15" hidden="1" x14ac:dyDescent="0.4">
      <c r="B124" s="20"/>
      <c r="C124" s="20"/>
      <c r="D124" s="20"/>
      <c r="E124" s="20"/>
      <c r="F124" s="20"/>
      <c r="G124" s="20"/>
      <c r="H124" s="20"/>
      <c r="I124" s="20"/>
      <c r="J124" s="76"/>
    </row>
    <row r="125" spans="2:10" ht="15" hidden="1" x14ac:dyDescent="0.4">
      <c r="B125" s="76"/>
      <c r="C125" s="76"/>
      <c r="D125" s="76"/>
      <c r="E125" s="76"/>
      <c r="F125" s="76"/>
      <c r="G125" s="76"/>
      <c r="H125" s="76"/>
      <c r="I125" s="76"/>
      <c r="J125" s="76"/>
    </row>
    <row r="126" spans="2:10" ht="15" hidden="1" x14ac:dyDescent="0.4">
      <c r="B126" s="76"/>
      <c r="C126" s="76"/>
      <c r="D126" s="76"/>
      <c r="E126" s="76"/>
      <c r="F126" s="76"/>
      <c r="G126" s="76"/>
      <c r="H126" s="76"/>
      <c r="I126" s="76"/>
      <c r="J126" s="76"/>
    </row>
    <row r="127" spans="2:10" ht="15" hidden="1" x14ac:dyDescent="0.4"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2:10" ht="15" hidden="1" x14ac:dyDescent="0.4">
      <c r="B128" s="76"/>
      <c r="C128" s="76"/>
      <c r="D128" s="76"/>
      <c r="E128" s="76"/>
      <c r="F128" s="76"/>
      <c r="G128" s="76"/>
      <c r="H128" s="76"/>
      <c r="I128" s="76"/>
      <c r="J128" s="76"/>
    </row>
    <row r="129" spans="2:10" ht="15" hidden="1" x14ac:dyDescent="0.4">
      <c r="B129" s="76"/>
      <c r="C129" s="76"/>
      <c r="D129" s="76"/>
      <c r="E129" s="76"/>
      <c r="F129" s="76"/>
      <c r="G129" s="76"/>
      <c r="H129" s="76"/>
      <c r="I129" s="76"/>
      <c r="J129" s="76"/>
    </row>
    <row r="130" spans="2:10" ht="15" hidden="1" x14ac:dyDescent="0.4">
      <c r="B130" s="76"/>
      <c r="C130" s="76"/>
      <c r="D130" s="76"/>
      <c r="E130" s="76"/>
      <c r="F130" s="76"/>
      <c r="G130" s="76"/>
      <c r="H130" s="76"/>
      <c r="I130" s="76"/>
      <c r="J130" s="76"/>
    </row>
    <row r="131" spans="2:10" ht="15" hidden="1" x14ac:dyDescent="0.4">
      <c r="B131" s="76"/>
      <c r="C131" s="76"/>
      <c r="D131" s="76"/>
      <c r="E131" s="76"/>
      <c r="F131" s="76"/>
      <c r="G131" s="76"/>
      <c r="H131" s="76"/>
      <c r="I131" s="76"/>
      <c r="J131" s="76"/>
    </row>
    <row r="132" spans="2:10" ht="15" hidden="1" x14ac:dyDescent="0.4">
      <c r="B132" s="76"/>
      <c r="C132" s="76"/>
      <c r="D132" s="76"/>
      <c r="E132" s="76"/>
      <c r="F132" s="76"/>
      <c r="G132" s="76"/>
      <c r="H132" s="76"/>
      <c r="I132" s="76"/>
      <c r="J132" s="76"/>
    </row>
    <row r="133" spans="2:10" ht="15" hidden="1" x14ac:dyDescent="0.4">
      <c r="B133" s="76"/>
      <c r="C133" s="76"/>
      <c r="D133" s="76"/>
      <c r="E133" s="76"/>
      <c r="F133" s="76"/>
      <c r="G133" s="76"/>
      <c r="H133" s="76"/>
      <c r="I133" s="76"/>
      <c r="J133" s="76"/>
    </row>
    <row r="134" spans="2:10" ht="15" hidden="1" x14ac:dyDescent="0.4">
      <c r="B134" s="76"/>
      <c r="C134" s="76"/>
      <c r="D134" s="76"/>
      <c r="E134" s="76"/>
      <c r="F134" s="76"/>
      <c r="G134" s="76"/>
      <c r="H134" s="76"/>
      <c r="I134" s="76"/>
      <c r="J134" s="76"/>
    </row>
    <row r="135" spans="2:10" ht="15" hidden="1" x14ac:dyDescent="0.4">
      <c r="B135" s="76"/>
      <c r="C135" s="76"/>
      <c r="D135" s="76"/>
      <c r="E135" s="76"/>
      <c r="F135" s="76"/>
      <c r="G135" s="76"/>
      <c r="H135" s="76"/>
      <c r="I135" s="76"/>
      <c r="J135" s="76"/>
    </row>
    <row r="136" spans="2:10" ht="15" hidden="1" x14ac:dyDescent="0.4">
      <c r="B136" s="76"/>
      <c r="C136" s="76"/>
      <c r="D136" s="76"/>
      <c r="E136" s="76"/>
      <c r="F136" s="76"/>
      <c r="G136" s="76"/>
      <c r="H136" s="76"/>
      <c r="I136" s="76"/>
      <c r="J136" s="76"/>
    </row>
    <row r="161" s="1" customFormat="1" x14ac:dyDescent="0.4"/>
    <row r="162" s="1" customFormat="1" x14ac:dyDescent="0.4"/>
  </sheetData>
  <mergeCells count="18">
    <mergeCell ref="B34:H34"/>
    <mergeCell ref="B2:I2"/>
    <mergeCell ref="B25:I25"/>
    <mergeCell ref="B29:G29"/>
    <mergeCell ref="C4:H4"/>
    <mergeCell ref="B27:G27"/>
    <mergeCell ref="B35:H35"/>
    <mergeCell ref="B36:H36"/>
    <mergeCell ref="B38:H38"/>
    <mergeCell ref="B52:H52"/>
    <mergeCell ref="B75:H75"/>
    <mergeCell ref="B37:H37"/>
    <mergeCell ref="B70:F70"/>
    <mergeCell ref="B96:G96"/>
    <mergeCell ref="B91:G91"/>
    <mergeCell ref="B71:H71"/>
    <mergeCell ref="B92:H92"/>
    <mergeCell ref="B94:H9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F463-81B2-4022-82DA-64EC842A4D65}">
  <sheetPr codeName="Folha3">
    <tabColor rgb="FFD4B4C9"/>
  </sheetPr>
  <dimension ref="A1:AM175"/>
  <sheetViews>
    <sheetView zoomScaleNormal="100" workbookViewId="0">
      <selection activeCell="H58" sqref="H58"/>
    </sheetView>
  </sheetViews>
  <sheetFormatPr defaultColWidth="0" defaultRowHeight="14.6" zeroHeight="1" x14ac:dyDescent="0.4"/>
  <cols>
    <col min="1" max="1" width="9.15234375" style="1" customWidth="1"/>
    <col min="2" max="2" width="37.53515625" style="1" customWidth="1"/>
    <col min="3" max="3" width="12.15234375" style="1" customWidth="1"/>
    <col min="4" max="4" width="13.69140625" style="1" customWidth="1"/>
    <col min="5" max="5" width="14.15234375" style="1" customWidth="1"/>
    <col min="6" max="6" width="11.15234375" style="1" customWidth="1"/>
    <col min="7" max="7" width="14.3046875" style="1" customWidth="1"/>
    <col min="8" max="8" width="12.15234375" style="1" customWidth="1"/>
    <col min="9" max="9" width="13.3828125" style="1" customWidth="1"/>
    <col min="10" max="10" width="9.15234375" style="1" customWidth="1"/>
    <col min="11" max="12" width="9.15234375" style="1" hidden="1" customWidth="1"/>
    <col min="13" max="39" width="0" style="1" hidden="1" customWidth="1"/>
    <col min="40" max="16384" width="9.15234375" style="1" hidden="1"/>
  </cols>
  <sheetData>
    <row r="1" spans="1:39" customFormat="1" ht="31.5" customHeight="1" x14ac:dyDescent="0.4">
      <c r="A1" s="1"/>
      <c r="B1" s="76"/>
      <c r="C1" s="76"/>
      <c r="D1" s="76"/>
      <c r="E1" s="76"/>
      <c r="F1" s="76"/>
      <c r="G1" s="76"/>
      <c r="H1" s="76"/>
      <c r="I1" s="7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customFormat="1" ht="17.600000000000001" x14ac:dyDescent="0.4">
      <c r="A2" s="1"/>
      <c r="B2" s="89" t="s">
        <v>19</v>
      </c>
      <c r="C2" s="90"/>
      <c r="D2" s="90"/>
      <c r="E2" s="90"/>
      <c r="F2" s="90"/>
      <c r="G2" s="90"/>
      <c r="H2" s="90"/>
      <c r="I2" s="9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customFormat="1" ht="9" customHeight="1" x14ac:dyDescent="0.4">
      <c r="A3" s="1"/>
      <c r="B3" s="91"/>
      <c r="C3" s="91"/>
      <c r="D3" s="91"/>
      <c r="E3" s="91"/>
      <c r="F3" s="91"/>
      <c r="G3" s="91"/>
      <c r="H3" s="91"/>
      <c r="I3" s="9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customFormat="1" ht="12" customHeight="1" x14ac:dyDescent="0.4">
      <c r="A4" s="1"/>
      <c r="B4" s="14"/>
      <c r="C4" s="14"/>
      <c r="D4" s="14"/>
      <c r="E4" s="14"/>
      <c r="F4" s="14"/>
      <c r="G4" s="14"/>
      <c r="H4" s="3" t="s">
        <v>20</v>
      </c>
      <c r="I4" s="230">
        <v>1000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customFormat="1" x14ac:dyDescent="0.4">
      <c r="A5" s="1"/>
      <c r="B5" s="12" t="s">
        <v>3</v>
      </c>
      <c r="C5" s="12" t="s">
        <v>379</v>
      </c>
      <c r="D5" s="12" t="s">
        <v>474</v>
      </c>
      <c r="E5" s="12" t="s">
        <v>475</v>
      </c>
      <c r="F5" s="12" t="s">
        <v>477</v>
      </c>
      <c r="G5" s="12" t="s">
        <v>380</v>
      </c>
      <c r="H5" s="12" t="s">
        <v>385</v>
      </c>
      <c r="I5" s="12" t="s">
        <v>476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customFormat="1" ht="6" customHeight="1" x14ac:dyDescent="0.4">
      <c r="A6" s="1"/>
      <c r="B6" s="42"/>
      <c r="C6" s="42"/>
      <c r="D6" s="42"/>
      <c r="E6" s="42"/>
      <c r="F6" s="42"/>
      <c r="G6" s="42"/>
      <c r="H6" s="42"/>
      <c r="I6" s="4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customFormat="1" x14ac:dyDescent="0.4">
      <c r="A7" s="1"/>
      <c r="B7" s="50" t="s">
        <v>21</v>
      </c>
      <c r="C7" s="92">
        <f xml:space="preserve"> BAL!D36</f>
        <v>0</v>
      </c>
      <c r="D7" s="92">
        <f>BAL!E36</f>
        <v>0</v>
      </c>
      <c r="E7" s="92">
        <f>BAL!F36</f>
        <v>0</v>
      </c>
      <c r="F7" s="92">
        <f>BAL!G36</f>
        <v>0</v>
      </c>
      <c r="G7" s="92">
        <f>BAL!K36</f>
        <v>0</v>
      </c>
      <c r="H7" s="92">
        <f>BAL!L36</f>
        <v>0</v>
      </c>
      <c r="I7" s="92">
        <f>BAL!M36</f>
        <v>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customFormat="1" x14ac:dyDescent="0.4">
      <c r="A8" s="1"/>
      <c r="B8" s="51" t="s">
        <v>38</v>
      </c>
      <c r="C8" s="92">
        <f>BAL!D21</f>
        <v>0</v>
      </c>
      <c r="D8" s="92">
        <f xml:space="preserve"> BAL!E21</f>
        <v>0</v>
      </c>
      <c r="E8" s="92">
        <f>BAL!F21</f>
        <v>0</v>
      </c>
      <c r="F8" s="92">
        <f>BAL!G21</f>
        <v>0</v>
      </c>
      <c r="G8" s="92">
        <f>BAL!K21</f>
        <v>0</v>
      </c>
      <c r="H8" s="92">
        <f>BAL!L21</f>
        <v>0</v>
      </c>
      <c r="I8" s="92">
        <f>BAL!M21</f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customFormat="1" ht="15.9" x14ac:dyDescent="0.45">
      <c r="A9" s="1"/>
      <c r="B9" s="51" t="s">
        <v>22</v>
      </c>
      <c r="C9" s="92">
        <f>BAL!D35</f>
        <v>0</v>
      </c>
      <c r="D9" s="92">
        <f>BAL!E35</f>
        <v>0</v>
      </c>
      <c r="E9" s="92">
        <f>BAL!F35</f>
        <v>0</v>
      </c>
      <c r="F9" s="92">
        <f>BAL!G35</f>
        <v>0</v>
      </c>
      <c r="G9" s="92">
        <f>BAL!K35</f>
        <v>0</v>
      </c>
      <c r="H9" s="92">
        <f>BAL!L35</f>
        <v>0</v>
      </c>
      <c r="I9" s="92">
        <f>BAL!M35</f>
        <v>0</v>
      </c>
      <c r="J9" s="1"/>
      <c r="K9" s="1"/>
      <c r="L9" s="1"/>
      <c r="M9" s="1"/>
      <c r="N9" s="88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customFormat="1" ht="5.25" customHeight="1" x14ac:dyDescent="0.4">
      <c r="A10" s="1"/>
      <c r="B10" s="52"/>
      <c r="C10" s="144"/>
      <c r="D10" s="144"/>
      <c r="E10" s="144"/>
      <c r="F10" s="144"/>
      <c r="G10" s="144"/>
      <c r="H10" s="144"/>
      <c r="I10" s="14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customFormat="1" x14ac:dyDescent="0.4">
      <c r="A11" s="1"/>
      <c r="B11" s="53" t="s">
        <v>41</v>
      </c>
      <c r="C11" s="92">
        <f>BAL!D50</f>
        <v>0</v>
      </c>
      <c r="D11" s="92">
        <f>BAL!E50</f>
        <v>0</v>
      </c>
      <c r="E11" s="92">
        <f>BAL!F50</f>
        <v>0</v>
      </c>
      <c r="F11" s="92">
        <f>BAL!G50</f>
        <v>0</v>
      </c>
      <c r="G11" s="92">
        <f>BAL!K50</f>
        <v>0</v>
      </c>
      <c r="H11" s="92">
        <f>BAL!L50</f>
        <v>0</v>
      </c>
      <c r="I11" s="92">
        <f>BAL!M50</f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customFormat="1" x14ac:dyDescent="0.4">
      <c r="A12" s="1"/>
      <c r="B12" s="51" t="s">
        <v>39</v>
      </c>
      <c r="C12" s="92">
        <f>BAL!D45</f>
        <v>0</v>
      </c>
      <c r="D12" s="92">
        <f>BAL!E45</f>
        <v>0</v>
      </c>
      <c r="E12" s="92">
        <f>BAL!F45</f>
        <v>0</v>
      </c>
      <c r="F12" s="92">
        <f>BAL!G45</f>
        <v>0</v>
      </c>
      <c r="G12" s="92">
        <f>BAL!K45</f>
        <v>0</v>
      </c>
      <c r="H12" s="92">
        <f>BAL!L45</f>
        <v>0</v>
      </c>
      <c r="I12" s="92">
        <f>BAL!M45</f>
        <v>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customFormat="1" ht="5.25" customHeight="1" x14ac:dyDescent="0.4">
      <c r="A13" s="1"/>
      <c r="B13" s="54"/>
      <c r="C13" s="144"/>
      <c r="D13" s="144"/>
      <c r="E13" s="144"/>
      <c r="F13" s="144"/>
      <c r="G13" s="144"/>
      <c r="H13" s="144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customFormat="1" x14ac:dyDescent="0.4">
      <c r="A14" s="1"/>
      <c r="B14" s="53" t="s">
        <v>23</v>
      </c>
      <c r="C14" s="92">
        <f>BAL!D78</f>
        <v>0</v>
      </c>
      <c r="D14" s="92">
        <f>BAL!E78</f>
        <v>0</v>
      </c>
      <c r="E14" s="92">
        <f>BAL!F78</f>
        <v>0</v>
      </c>
      <c r="F14" s="92">
        <f>BAL!G78</f>
        <v>0</v>
      </c>
      <c r="G14" s="92">
        <f>BAL!K78</f>
        <v>0</v>
      </c>
      <c r="H14" s="92">
        <f>BAL!L78</f>
        <v>0</v>
      </c>
      <c r="I14" s="92">
        <f>BAL!M78</f>
        <v>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customFormat="1" x14ac:dyDescent="0.4">
      <c r="A15" s="1"/>
      <c r="B15" s="51" t="s">
        <v>38</v>
      </c>
      <c r="C15" s="92">
        <f>BAL!D63</f>
        <v>0</v>
      </c>
      <c r="D15" s="92">
        <f>BAL!E63</f>
        <v>0</v>
      </c>
      <c r="E15" s="92">
        <f>BAL!F63</f>
        <v>0</v>
      </c>
      <c r="F15" s="92">
        <f>BAL!G63</f>
        <v>0</v>
      </c>
      <c r="G15" s="92">
        <f>BAL!K63</f>
        <v>0</v>
      </c>
      <c r="H15" s="92">
        <f>BAL!L63</f>
        <v>0</v>
      </c>
      <c r="I15" s="92">
        <f>BAL!M63</f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customFormat="1" x14ac:dyDescent="0.4">
      <c r="A16" s="1"/>
      <c r="B16" s="51" t="s">
        <v>22</v>
      </c>
      <c r="C16" s="92">
        <f>BAL!D77</f>
        <v>0</v>
      </c>
      <c r="D16" s="92">
        <f>BAL!E77</f>
        <v>0</v>
      </c>
      <c r="E16" s="92">
        <f>BAL!F77</f>
        <v>0</v>
      </c>
      <c r="F16" s="92">
        <f>BAL!G77</f>
        <v>0</v>
      </c>
      <c r="G16" s="92">
        <f>BAL!K77</f>
        <v>0</v>
      </c>
      <c r="H16" s="92">
        <f>BAL!L77</f>
        <v>0</v>
      </c>
      <c r="I16" s="92">
        <f>BAL!M77</f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customFormat="1" ht="21" customHeight="1" x14ac:dyDescent="0.4">
      <c r="A17" s="1"/>
      <c r="B17" s="568" t="s">
        <v>40</v>
      </c>
      <c r="C17" s="567"/>
      <c r="D17" s="567"/>
      <c r="E17" s="567"/>
      <c r="F17" s="567"/>
      <c r="G17" s="567"/>
      <c r="H17" s="567"/>
      <c r="I17" s="56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customFormat="1" x14ac:dyDescent="0.4">
      <c r="A18" s="1"/>
      <c r="B18" s="8"/>
      <c r="C18" s="9"/>
      <c r="D18" s="10"/>
      <c r="E18" s="10"/>
      <c r="F18" s="10"/>
      <c r="G18" s="10"/>
      <c r="H18" s="10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customFormat="1" x14ac:dyDescent="0.4">
      <c r="A19" s="1"/>
      <c r="B19" s="12" t="s">
        <v>24</v>
      </c>
      <c r="C19" s="12" t="s">
        <v>379</v>
      </c>
      <c r="D19" s="12" t="s">
        <v>474</v>
      </c>
      <c r="E19" s="12" t="s">
        <v>475</v>
      </c>
      <c r="F19" s="12" t="s">
        <v>477</v>
      </c>
      <c r="G19" s="12" t="s">
        <v>380</v>
      </c>
      <c r="H19" s="12" t="s">
        <v>385</v>
      </c>
      <c r="I19" s="12" t="s">
        <v>476</v>
      </c>
      <c r="J19" s="1"/>
      <c r="K19" s="6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customFormat="1" ht="3.75" customHeight="1" x14ac:dyDescent="0.4">
      <c r="A20" s="1"/>
      <c r="B20" s="42"/>
      <c r="C20" s="42"/>
      <c r="D20" s="43"/>
      <c r="E20" s="43"/>
      <c r="F20" s="43"/>
      <c r="G20" s="43"/>
      <c r="H20" s="43"/>
      <c r="I20" s="4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customFormat="1" x14ac:dyDescent="0.4">
      <c r="A21" s="1"/>
      <c r="B21" s="6" t="s">
        <v>42</v>
      </c>
      <c r="C21" s="92">
        <f>DR!D8</f>
        <v>0</v>
      </c>
      <c r="D21" s="92">
        <f>DR!E8</f>
        <v>0</v>
      </c>
      <c r="E21" s="92">
        <f>DR!F8</f>
        <v>0</v>
      </c>
      <c r="F21" s="92">
        <f>DR!G8</f>
        <v>0</v>
      </c>
      <c r="G21" s="92">
        <f>DR!K8</f>
        <v>0</v>
      </c>
      <c r="H21" s="92">
        <f>DR!L8</f>
        <v>0</v>
      </c>
      <c r="I21" s="92">
        <f>DR!M8</f>
        <v>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customFormat="1" x14ac:dyDescent="0.4">
      <c r="A22" s="1"/>
      <c r="B22" s="5" t="s">
        <v>25</v>
      </c>
      <c r="C22" s="60"/>
      <c r="D22" s="65" t="str">
        <f>IFERROR(D21/C21-1,"")</f>
        <v/>
      </c>
      <c r="E22" s="65" t="str">
        <f t="shared" ref="E22:I22" si="0">IFERROR(E21/D21-1,"")</f>
        <v/>
      </c>
      <c r="F22" s="65" t="str">
        <f t="shared" si="0"/>
        <v/>
      </c>
      <c r="G22" s="65" t="str">
        <f t="shared" si="0"/>
        <v/>
      </c>
      <c r="H22" s="65" t="str">
        <f t="shared" si="0"/>
        <v/>
      </c>
      <c r="I22" s="65" t="str">
        <f t="shared" si="0"/>
        <v/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customFormat="1" x14ac:dyDescent="0.4">
      <c r="A23" s="1"/>
      <c r="B23" s="6" t="s">
        <v>43</v>
      </c>
      <c r="C23" s="92">
        <f>DR!D9</f>
        <v>0</v>
      </c>
      <c r="D23" s="92">
        <f>DR!E9</f>
        <v>0</v>
      </c>
      <c r="E23" s="92">
        <f>DR!F9</f>
        <v>0</v>
      </c>
      <c r="F23" s="92">
        <f>DR!G9</f>
        <v>0</v>
      </c>
      <c r="G23" s="92">
        <f>DR!K9</f>
        <v>0</v>
      </c>
      <c r="H23" s="92">
        <f>DR!L9</f>
        <v>0</v>
      </c>
      <c r="I23" s="92">
        <f>DR!M9</f>
        <v>0</v>
      </c>
      <c r="J23" s="1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customFormat="1" x14ac:dyDescent="0.4">
      <c r="A24" s="1"/>
      <c r="B24" s="5" t="s">
        <v>25</v>
      </c>
      <c r="C24" s="58"/>
      <c r="D24" s="60" t="str">
        <f t="shared" ref="D24:I24" si="1">IFERROR(D23/C23-1,"")</f>
        <v/>
      </c>
      <c r="E24" s="65" t="str">
        <f t="shared" si="1"/>
        <v/>
      </c>
      <c r="F24" s="65" t="str">
        <f t="shared" si="1"/>
        <v/>
      </c>
      <c r="G24" s="65" t="str">
        <f t="shared" si="1"/>
        <v/>
      </c>
      <c r="H24" s="65" t="str">
        <f t="shared" si="1"/>
        <v/>
      </c>
      <c r="I24" s="65" t="str">
        <f t="shared" si="1"/>
        <v/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customFormat="1" x14ac:dyDescent="0.4">
      <c r="A25" s="1"/>
      <c r="B25" s="6" t="s">
        <v>45</v>
      </c>
      <c r="C25" s="92">
        <f>C21+C23</f>
        <v>0</v>
      </c>
      <c r="D25" s="92">
        <f t="shared" ref="D25:I25" si="2">D21+D23</f>
        <v>0</v>
      </c>
      <c r="E25" s="92">
        <f t="shared" si="2"/>
        <v>0</v>
      </c>
      <c r="F25" s="92">
        <f t="shared" si="2"/>
        <v>0</v>
      </c>
      <c r="G25" s="92">
        <f t="shared" si="2"/>
        <v>0</v>
      </c>
      <c r="H25" s="92">
        <f t="shared" si="2"/>
        <v>0</v>
      </c>
      <c r="I25" s="92">
        <f t="shared" si="2"/>
        <v>0</v>
      </c>
      <c r="J25" s="1"/>
      <c r="K25" s="61"/>
      <c r="L25" s="61"/>
      <c r="M25" s="61"/>
      <c r="N25" s="61"/>
      <c r="O25" s="61"/>
      <c r="P25" s="61"/>
      <c r="Q25" s="6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customFormat="1" x14ac:dyDescent="0.4">
      <c r="A26" s="1"/>
      <c r="B26" s="5" t="s">
        <v>25</v>
      </c>
      <c r="C26" s="58"/>
      <c r="D26" s="60" t="str">
        <f t="shared" ref="D26:I26" si="3">IFERROR(D25/C25-1,"")</f>
        <v/>
      </c>
      <c r="E26" s="65" t="str">
        <f t="shared" si="3"/>
        <v/>
      </c>
      <c r="F26" s="65" t="str">
        <f t="shared" si="3"/>
        <v/>
      </c>
      <c r="G26" s="65" t="str">
        <f t="shared" si="3"/>
        <v/>
      </c>
      <c r="H26" s="65" t="str">
        <f t="shared" si="3"/>
        <v/>
      </c>
      <c r="I26" s="65" t="str">
        <f t="shared" si="3"/>
        <v/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customFormat="1" x14ac:dyDescent="0.4">
      <c r="A27" s="1"/>
      <c r="B27" s="6" t="s">
        <v>46</v>
      </c>
      <c r="C27" s="92">
        <f>DR!D13</f>
        <v>0</v>
      </c>
      <c r="D27" s="92">
        <f>DR!E13</f>
        <v>0</v>
      </c>
      <c r="E27" s="92">
        <f>DR!F13</f>
        <v>0</v>
      </c>
      <c r="F27" s="92">
        <f>DR!G13</f>
        <v>0</v>
      </c>
      <c r="G27" s="92">
        <f>DR!K13</f>
        <v>0</v>
      </c>
      <c r="H27" s="92">
        <f>DR!L13</f>
        <v>0</v>
      </c>
      <c r="I27" s="92">
        <f>DR!M13</f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customFormat="1" x14ac:dyDescent="0.4">
      <c r="A28" s="1"/>
      <c r="B28" s="5" t="s">
        <v>25</v>
      </c>
      <c r="C28" s="58"/>
      <c r="D28" s="60" t="str">
        <f t="shared" ref="D28:I28" si="4">IFERROR(D27/C27-1,"")</f>
        <v/>
      </c>
      <c r="E28" s="65" t="str">
        <f t="shared" si="4"/>
        <v/>
      </c>
      <c r="F28" s="65" t="str">
        <f t="shared" si="4"/>
        <v/>
      </c>
      <c r="G28" s="65" t="str">
        <f t="shared" si="4"/>
        <v/>
      </c>
      <c r="H28" s="65" t="str">
        <f t="shared" si="4"/>
        <v/>
      </c>
      <c r="I28" s="65" t="str">
        <f t="shared" si="4"/>
        <v/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customFormat="1" x14ac:dyDescent="0.4">
      <c r="A29" s="1"/>
      <c r="B29" s="4" t="s">
        <v>47</v>
      </c>
      <c r="C29" s="92">
        <f>DR!D15</f>
        <v>0</v>
      </c>
      <c r="D29" s="92">
        <f>DR!E15</f>
        <v>0</v>
      </c>
      <c r="E29" s="92">
        <f>DR!F15</f>
        <v>0</v>
      </c>
      <c r="F29" s="92">
        <f>DR!G15</f>
        <v>0</v>
      </c>
      <c r="G29" s="92">
        <f>DR!K15</f>
        <v>0</v>
      </c>
      <c r="H29" s="92">
        <f>DR!L15</f>
        <v>0</v>
      </c>
      <c r="I29" s="92">
        <f>DR!M15</f>
        <v>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customFormat="1" x14ac:dyDescent="0.4">
      <c r="A30" s="1"/>
      <c r="B30" s="5" t="s">
        <v>25</v>
      </c>
      <c r="C30" s="58"/>
      <c r="D30" s="60" t="str">
        <f t="shared" ref="D30:I30" si="5">IFERROR(D29/C29-1,"")</f>
        <v/>
      </c>
      <c r="E30" s="65" t="str">
        <f t="shared" si="5"/>
        <v/>
      </c>
      <c r="F30" s="65" t="str">
        <f t="shared" si="5"/>
        <v/>
      </c>
      <c r="G30" s="65" t="str">
        <f t="shared" si="5"/>
        <v/>
      </c>
      <c r="H30" s="65" t="str">
        <f t="shared" si="5"/>
        <v/>
      </c>
      <c r="I30" s="65" t="str">
        <f t="shared" si="5"/>
        <v/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customFormat="1" x14ac:dyDescent="0.4">
      <c r="A31" s="1"/>
      <c r="B31" s="4" t="s">
        <v>48</v>
      </c>
      <c r="C31" s="92">
        <f>DR!D14</f>
        <v>0</v>
      </c>
      <c r="D31" s="92">
        <f>DR!E14</f>
        <v>0</v>
      </c>
      <c r="E31" s="92">
        <f>DR!F14</f>
        <v>0</v>
      </c>
      <c r="F31" s="92">
        <f>DR!G14</f>
        <v>0</v>
      </c>
      <c r="G31" s="92">
        <f>DR!K14</f>
        <v>0</v>
      </c>
      <c r="H31" s="92">
        <f>DR!L14</f>
        <v>0</v>
      </c>
      <c r="I31" s="92">
        <f>DR!M14</f>
        <v>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customFormat="1" x14ac:dyDescent="0.4">
      <c r="A32" s="1"/>
      <c r="B32" s="5" t="s">
        <v>25</v>
      </c>
      <c r="C32" s="58"/>
      <c r="D32" s="60" t="str">
        <f t="shared" ref="D32:I32" si="6">IFERROR(D31/C31-1,"")</f>
        <v/>
      </c>
      <c r="E32" s="65" t="str">
        <f t="shared" si="6"/>
        <v/>
      </c>
      <c r="F32" s="65" t="str">
        <f t="shared" si="6"/>
        <v/>
      </c>
      <c r="G32" s="65" t="str">
        <f t="shared" si="6"/>
        <v/>
      </c>
      <c r="H32" s="65" t="str">
        <f t="shared" si="6"/>
        <v/>
      </c>
      <c r="I32" s="65" t="str">
        <f t="shared" si="6"/>
        <v/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customFormat="1" x14ac:dyDescent="0.4">
      <c r="A33" s="1"/>
      <c r="B33" s="4" t="s">
        <v>44</v>
      </c>
      <c r="C33" s="92">
        <f>-(C27+C29+C31)</f>
        <v>0</v>
      </c>
      <c r="D33" s="92">
        <f t="shared" ref="D33:I33" si="7">-(D27+D29+D31)</f>
        <v>0</v>
      </c>
      <c r="E33" s="92">
        <f t="shared" si="7"/>
        <v>0</v>
      </c>
      <c r="F33" s="92">
        <f t="shared" si="7"/>
        <v>0</v>
      </c>
      <c r="G33" s="92">
        <f t="shared" si="7"/>
        <v>0</v>
      </c>
      <c r="H33" s="92">
        <f t="shared" si="7"/>
        <v>0</v>
      </c>
      <c r="I33" s="92">
        <f t="shared" si="7"/>
        <v>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customFormat="1" x14ac:dyDescent="0.4">
      <c r="A34" s="1"/>
      <c r="B34" s="5" t="s">
        <v>25</v>
      </c>
      <c r="C34" s="58"/>
      <c r="D34" s="60" t="str">
        <f t="shared" ref="D34:I34" si="8">IFERROR(D33/C33-1,"")</f>
        <v/>
      </c>
      <c r="E34" s="65" t="str">
        <f t="shared" si="8"/>
        <v/>
      </c>
      <c r="F34" s="65" t="str">
        <f t="shared" si="8"/>
        <v/>
      </c>
      <c r="G34" s="65" t="str">
        <f t="shared" si="8"/>
        <v/>
      </c>
      <c r="H34" s="65" t="str">
        <f t="shared" si="8"/>
        <v/>
      </c>
      <c r="I34" s="65" t="str">
        <f t="shared" si="8"/>
        <v/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customFormat="1" x14ac:dyDescent="0.4">
      <c r="A35" s="1"/>
      <c r="B35" s="4" t="s">
        <v>26</v>
      </c>
      <c r="C35" s="92">
        <f>DR!D23</f>
        <v>0</v>
      </c>
      <c r="D35" s="92">
        <f>DR!E23</f>
        <v>0</v>
      </c>
      <c r="E35" s="92">
        <f>DR!F23</f>
        <v>0</v>
      </c>
      <c r="F35" s="92">
        <f>DR!G23</f>
        <v>0</v>
      </c>
      <c r="G35" s="92">
        <f>DR!K23</f>
        <v>0</v>
      </c>
      <c r="H35" s="92">
        <f>DR!L23</f>
        <v>0</v>
      </c>
      <c r="I35" s="92">
        <f>DR!M23</f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customFormat="1" x14ac:dyDescent="0.4">
      <c r="A36" s="1"/>
      <c r="B36" s="5" t="s">
        <v>25</v>
      </c>
      <c r="C36" s="58"/>
      <c r="D36" s="60" t="str">
        <f t="shared" ref="D36:I36" si="9">IFERROR(D35/C35-1,"")</f>
        <v/>
      </c>
      <c r="E36" s="65" t="str">
        <f t="shared" si="9"/>
        <v/>
      </c>
      <c r="F36" s="65" t="str">
        <f t="shared" si="9"/>
        <v/>
      </c>
      <c r="G36" s="65" t="str">
        <f t="shared" si="9"/>
        <v/>
      </c>
      <c r="H36" s="65" t="str">
        <f t="shared" si="9"/>
        <v/>
      </c>
      <c r="I36" s="65" t="str">
        <f t="shared" si="9"/>
        <v/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customFormat="1" x14ac:dyDescent="0.4">
      <c r="A37" s="1"/>
      <c r="B37" s="4" t="s">
        <v>49</v>
      </c>
      <c r="C37" s="92">
        <f>C25-C33</f>
        <v>0</v>
      </c>
      <c r="D37" s="92">
        <f t="shared" ref="D37:I37" si="10">D25-D33</f>
        <v>0</v>
      </c>
      <c r="E37" s="92">
        <f t="shared" si="10"/>
        <v>0</v>
      </c>
      <c r="F37" s="92">
        <f t="shared" si="10"/>
        <v>0</v>
      </c>
      <c r="G37" s="92">
        <f t="shared" si="10"/>
        <v>0</v>
      </c>
      <c r="H37" s="92">
        <f t="shared" si="10"/>
        <v>0</v>
      </c>
      <c r="I37" s="92">
        <f t="shared" si="10"/>
        <v>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customFormat="1" x14ac:dyDescent="0.4">
      <c r="A38" s="1"/>
      <c r="B38" s="5" t="s">
        <v>25</v>
      </c>
      <c r="C38" s="58"/>
      <c r="D38" s="60" t="str">
        <f t="shared" ref="D38:I38" si="11">IFERROR(D37/C37-1,"")</f>
        <v/>
      </c>
      <c r="E38" s="65" t="str">
        <f t="shared" si="11"/>
        <v/>
      </c>
      <c r="F38" s="65" t="str">
        <f t="shared" si="11"/>
        <v/>
      </c>
      <c r="G38" s="65" t="str">
        <f t="shared" si="11"/>
        <v/>
      </c>
      <c r="H38" s="65" t="str">
        <f t="shared" si="11"/>
        <v/>
      </c>
      <c r="I38" s="65" t="str">
        <f t="shared" si="11"/>
        <v/>
      </c>
      <c r="J38" s="1"/>
      <c r="K38" s="64"/>
      <c r="L38" s="64"/>
      <c r="M38" s="64"/>
      <c r="N38" s="64"/>
      <c r="O38" s="64"/>
      <c r="P38" s="64"/>
      <c r="Q38" s="64"/>
      <c r="R38" s="64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customFormat="1" x14ac:dyDescent="0.4">
      <c r="A39" s="1"/>
      <c r="B39" s="4" t="s">
        <v>27</v>
      </c>
      <c r="C39" s="92">
        <f>DR!D26</f>
        <v>0</v>
      </c>
      <c r="D39" s="92">
        <f>DR!E26</f>
        <v>0</v>
      </c>
      <c r="E39" s="92">
        <f>DR!F26</f>
        <v>0</v>
      </c>
      <c r="F39" s="92">
        <f>DR!G26</f>
        <v>0</v>
      </c>
      <c r="G39" s="92">
        <f>DR!K26</f>
        <v>0</v>
      </c>
      <c r="H39" s="92">
        <f>DR!L26</f>
        <v>0</v>
      </c>
      <c r="I39" s="92">
        <f>DR!M26</f>
        <v>0</v>
      </c>
      <c r="J39" s="1"/>
      <c r="K39" s="61"/>
      <c r="L39" s="61"/>
      <c r="M39" s="61"/>
      <c r="N39" s="61"/>
      <c r="O39" s="61"/>
      <c r="P39" s="61"/>
      <c r="Q39" s="6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customFormat="1" x14ac:dyDescent="0.4">
      <c r="A40" s="1"/>
      <c r="B40" s="5" t="s">
        <v>25</v>
      </c>
      <c r="C40" s="58"/>
      <c r="D40" s="60" t="str">
        <f t="shared" ref="D40:I40" si="12">IFERROR(D39/C39-1,"")</f>
        <v/>
      </c>
      <c r="E40" s="65" t="str">
        <f t="shared" si="12"/>
        <v/>
      </c>
      <c r="F40" s="65" t="str">
        <f t="shared" si="12"/>
        <v/>
      </c>
      <c r="G40" s="65" t="str">
        <f t="shared" si="12"/>
        <v/>
      </c>
      <c r="H40" s="65" t="str">
        <f t="shared" si="12"/>
        <v/>
      </c>
      <c r="I40" s="65" t="str">
        <f t="shared" si="12"/>
        <v/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customFormat="1" x14ac:dyDescent="0.4">
      <c r="A41" s="1"/>
      <c r="B41" s="4" t="s">
        <v>28</v>
      </c>
      <c r="C41" s="92">
        <f>DR!D32</f>
        <v>0</v>
      </c>
      <c r="D41" s="92">
        <f>DR!E32</f>
        <v>0</v>
      </c>
      <c r="E41" s="92">
        <f>DR!F32</f>
        <v>0</v>
      </c>
      <c r="F41" s="92">
        <f>DR!G32</f>
        <v>0</v>
      </c>
      <c r="G41" s="92">
        <f>DR!K32</f>
        <v>0</v>
      </c>
      <c r="H41" s="92">
        <f>DR!L32</f>
        <v>0</v>
      </c>
      <c r="I41" s="92">
        <f>DR!M32</f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customFormat="1" x14ac:dyDescent="0.4">
      <c r="A42" s="1"/>
      <c r="B42" s="59" t="s">
        <v>25</v>
      </c>
      <c r="C42" s="62"/>
      <c r="D42" s="63" t="str">
        <f>IFERROR(D41/C41-1,"")</f>
        <v/>
      </c>
      <c r="E42" s="66" t="str">
        <f t="shared" ref="E42:I42" si="13">IFERROR(E41/D41-1,"")</f>
        <v/>
      </c>
      <c r="F42" s="66" t="str">
        <f t="shared" si="13"/>
        <v/>
      </c>
      <c r="G42" s="66" t="str">
        <f t="shared" si="13"/>
        <v/>
      </c>
      <c r="H42" s="66" t="str">
        <f t="shared" si="13"/>
        <v/>
      </c>
      <c r="I42" s="66" t="str">
        <f t="shared" si="13"/>
        <v/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customFormat="1" x14ac:dyDescent="0.4">
      <c r="A43" s="1"/>
      <c r="B43" s="566" t="s">
        <v>40</v>
      </c>
      <c r="C43" s="567"/>
      <c r="D43" s="567"/>
      <c r="E43" s="567"/>
      <c r="F43" s="567"/>
      <c r="G43" s="567"/>
      <c r="H43" s="567"/>
      <c r="I43" s="56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customFormat="1" x14ac:dyDescent="0.4">
      <c r="A44" s="1"/>
      <c r="B44" s="14"/>
      <c r="C44" s="14"/>
      <c r="D44" s="79"/>
      <c r="E44" s="79"/>
      <c r="F44" s="79"/>
      <c r="G44" s="79"/>
      <c r="H44" s="79"/>
      <c r="I44" s="7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customFormat="1" x14ac:dyDescent="0.4">
      <c r="A45" s="1"/>
      <c r="B45" s="12" t="s">
        <v>7</v>
      </c>
      <c r="C45" s="12" t="s">
        <v>379</v>
      </c>
      <c r="D45" s="12" t="s">
        <v>474</v>
      </c>
      <c r="E45" s="12" t="s">
        <v>475</v>
      </c>
      <c r="F45" s="12" t="s">
        <v>477</v>
      </c>
      <c r="G45" s="12" t="s">
        <v>380</v>
      </c>
      <c r="H45" s="12" t="s">
        <v>385</v>
      </c>
      <c r="I45" s="12" t="s">
        <v>476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customFormat="1" ht="6" customHeight="1" x14ac:dyDescent="0.4">
      <c r="A46" s="1"/>
      <c r="B46" s="42"/>
      <c r="C46" s="42"/>
      <c r="D46" s="43"/>
      <c r="E46" s="43"/>
      <c r="F46" s="43"/>
      <c r="G46" s="43"/>
      <c r="H46" s="43"/>
      <c r="I46" s="4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customFormat="1" x14ac:dyDescent="0.4">
      <c r="A47" s="1"/>
      <c r="B47" s="4" t="s">
        <v>29</v>
      </c>
      <c r="C47" s="201" t="str">
        <f>IFERROR(C33/C25, "")</f>
        <v/>
      </c>
      <c r="D47" s="201" t="str">
        <f t="shared" ref="D47:I47" si="14">IFERROR(D33/D25,"")</f>
        <v/>
      </c>
      <c r="E47" s="201" t="str">
        <f t="shared" si="14"/>
        <v/>
      </c>
      <c r="F47" s="201" t="str">
        <f t="shared" si="14"/>
        <v/>
      </c>
      <c r="G47" s="201" t="str">
        <f t="shared" si="14"/>
        <v/>
      </c>
      <c r="H47" s="201" t="str">
        <f t="shared" si="14"/>
        <v/>
      </c>
      <c r="I47" s="201" t="str">
        <f t="shared" si="14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customFormat="1" x14ac:dyDescent="0.4">
      <c r="A48" s="1"/>
      <c r="B48" s="4" t="s">
        <v>325</v>
      </c>
      <c r="C48" s="517" t="str">
        <f>IFERROR('Eficiência Operacional'!C60,"")</f>
        <v/>
      </c>
      <c r="D48" s="517" t="str">
        <f>IFERROR('Eficiência Operacional'!D60,"")</f>
        <v/>
      </c>
      <c r="E48" s="517" t="str">
        <f>IFERROR('Eficiência Operacional'!E60,"")</f>
        <v/>
      </c>
      <c r="F48" s="517" t="str">
        <f>IFERROR('Eficiência Operacional'!F60,"")</f>
        <v/>
      </c>
      <c r="G48" s="517" t="str">
        <f>IFERROR('Eficiência Operacional'!G60,"")</f>
        <v/>
      </c>
      <c r="H48" s="517" t="str">
        <f>IFERROR('Eficiência Operacional'!H60,"")</f>
        <v/>
      </c>
      <c r="I48" s="517" t="str">
        <f>IFERROR('Eficiência Operacional'!I60,"")</f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customFormat="1" x14ac:dyDescent="0.4">
      <c r="A49" s="1"/>
      <c r="B49" s="566" t="s">
        <v>40</v>
      </c>
      <c r="C49" s="567"/>
      <c r="D49" s="567"/>
      <c r="E49" s="567"/>
      <c r="F49" s="567"/>
      <c r="G49" s="567"/>
      <c r="H49" s="567"/>
      <c r="I49" s="56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customFormat="1" ht="12" customHeight="1" x14ac:dyDescent="0.4">
      <c r="A50" s="1"/>
      <c r="B50" s="569"/>
      <c r="C50" s="569"/>
      <c r="D50" s="569"/>
      <c r="E50" s="569"/>
      <c r="F50" s="569"/>
      <c r="G50" s="569"/>
      <c r="H50" s="569"/>
      <c r="I50" s="56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customFormat="1" ht="11.25" customHeight="1" x14ac:dyDescent="0.4">
      <c r="A51" s="1"/>
      <c r="B51" s="1"/>
      <c r="C51" s="226"/>
      <c r="D51" s="226"/>
      <c r="E51" s="226"/>
      <c r="F51" s="226"/>
      <c r="G51" s="226"/>
      <c r="H51" s="240"/>
      <c r="I51" s="5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customFormat="1" ht="15.75" customHeight="1" x14ac:dyDescent="0.4">
      <c r="A52" s="1"/>
      <c r="B52" s="12" t="s">
        <v>381</v>
      </c>
      <c r="C52" s="12" t="s">
        <v>379</v>
      </c>
      <c r="D52" s="12" t="s">
        <v>474</v>
      </c>
      <c r="E52" s="12" t="s">
        <v>475</v>
      </c>
      <c r="F52" s="12" t="s">
        <v>477</v>
      </c>
      <c r="G52" s="12" t="s">
        <v>380</v>
      </c>
      <c r="H52" s="12" t="s">
        <v>385</v>
      </c>
      <c r="I52" s="12" t="s">
        <v>476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customFormat="1" ht="12" customHeight="1" x14ac:dyDescent="0.4">
      <c r="A53" s="1"/>
      <c r="B53" s="449" t="s">
        <v>382</v>
      </c>
      <c r="C53" s="92">
        <f>FO_PC_2024+FO_PNC_2024</f>
        <v>0</v>
      </c>
      <c r="D53" s="92">
        <f>FO_PC_2025+FO_PNC_2025</f>
        <v>0</v>
      </c>
      <c r="E53" s="92">
        <f>FO_PC_2026PAO+FO_PNC_2026PAO</f>
        <v>0</v>
      </c>
      <c r="F53" s="92">
        <f>FO_PC_2026E+FO_PNC_2026E</f>
        <v>0</v>
      </c>
      <c r="G53" s="92">
        <f>FO_PC_2027+FO_PNC_2027</f>
        <v>0</v>
      </c>
      <c r="H53" s="92">
        <f>FO_PC_2028+FO_PNC_2028</f>
        <v>0</v>
      </c>
      <c r="I53" s="92">
        <f>FO_PC_2029+FO_PNC_2029</f>
        <v>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customFormat="1" ht="12" customHeight="1" x14ac:dyDescent="0.4">
      <c r="A54" s="1"/>
      <c r="B54" s="450" t="s">
        <v>25</v>
      </c>
      <c r="C54" s="451"/>
      <c r="D54" s="60" t="str">
        <f>IFERROR(D53/C53-1,"")</f>
        <v/>
      </c>
      <c r="E54" s="60" t="str">
        <f t="shared" ref="E54:H54" si="15">IFERROR(E53/D53-1,"")</f>
        <v/>
      </c>
      <c r="F54" s="60" t="str">
        <f t="shared" si="15"/>
        <v/>
      </c>
      <c r="G54" s="60" t="str">
        <f t="shared" si="15"/>
        <v/>
      </c>
      <c r="H54" s="60" t="str">
        <f t="shared" si="15"/>
        <v/>
      </c>
      <c r="I54" s="60" t="str">
        <f>IFERROR(I53/H53-1,"")</f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customFormat="1" ht="12" customHeight="1" x14ac:dyDescent="0.4">
      <c r="A55" s="1"/>
      <c r="B55" s="449" t="s">
        <v>383</v>
      </c>
      <c r="C55" s="92">
        <f>DISPONIBILIDADES_2024</f>
        <v>0</v>
      </c>
      <c r="D55" s="92">
        <f>DISPONIBILIDADES_2025</f>
        <v>0</v>
      </c>
      <c r="E55" s="92">
        <f>DISPONIBILIDADES_2026PAO</f>
        <v>0</v>
      </c>
      <c r="F55" s="92">
        <f>DISPONIBILIDADES_2026E</f>
        <v>0</v>
      </c>
      <c r="G55" s="92">
        <f>DISPONIBILIDADES_2027</f>
        <v>0</v>
      </c>
      <c r="H55" s="92">
        <f>DISPONIBILIDADES_2028</f>
        <v>0</v>
      </c>
      <c r="I55" s="92">
        <f>DISPONIBILIDADES_2029</f>
        <v>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customFormat="1" ht="12" customHeight="1" x14ac:dyDescent="0.4">
      <c r="A56" s="1"/>
      <c r="B56" s="450" t="s">
        <v>25</v>
      </c>
      <c r="C56" s="451"/>
      <c r="D56" s="60" t="str">
        <f>IFERROR(D55/C55-1,"")</f>
        <v/>
      </c>
      <c r="E56" s="60" t="str">
        <f t="shared" ref="E56" si="16">IFERROR(E55/D55-1,"")</f>
        <v/>
      </c>
      <c r="F56" s="60" t="str">
        <f t="shared" ref="F56" si="17">IFERROR(F55/E55-1,"")</f>
        <v/>
      </c>
      <c r="G56" s="60" t="str">
        <f t="shared" ref="G56" si="18">IFERROR(G55/F55-1,"")</f>
        <v/>
      </c>
      <c r="H56" s="60" t="str">
        <f t="shared" ref="H56" si="19">IFERROR(H55/G55-1,"")</f>
        <v/>
      </c>
      <c r="I56" s="60" t="str">
        <f>IFERROR(I55/H55-1,"")</f>
        <v/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customFormat="1" ht="12" customHeight="1" x14ac:dyDescent="0.4">
      <c r="A57" s="1"/>
      <c r="B57" s="449" t="s">
        <v>384</v>
      </c>
      <c r="C57" s="92" t="str">
        <f>IF(C53-C55&gt;0,C53-C55,"")</f>
        <v/>
      </c>
      <c r="D57" s="92" t="str">
        <f t="shared" ref="D57:I57" si="20">IF(D53-D55&gt;0,D53-D55,"")</f>
        <v/>
      </c>
      <c r="E57" s="92" t="str">
        <f t="shared" si="20"/>
        <v/>
      </c>
      <c r="F57" s="92" t="str">
        <f t="shared" si="20"/>
        <v/>
      </c>
      <c r="G57" s="92" t="str">
        <f t="shared" si="20"/>
        <v/>
      </c>
      <c r="H57" s="92" t="str">
        <f t="shared" si="20"/>
        <v/>
      </c>
      <c r="I57" s="92" t="str">
        <f t="shared" si="20"/>
        <v/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customFormat="1" ht="12" customHeight="1" x14ac:dyDescent="0.4">
      <c r="A58" s="1"/>
      <c r="B58" s="450" t="s">
        <v>25</v>
      </c>
      <c r="C58" s="451"/>
      <c r="D58" s="451" t="str">
        <f>IFERROR((D57-C57)/C57,"")</f>
        <v/>
      </c>
      <c r="E58" s="451" t="str">
        <f t="shared" ref="E58:H58" si="21">IFERROR((E57-D57)/D57,"")</f>
        <v/>
      </c>
      <c r="F58" s="451" t="str">
        <f t="shared" si="21"/>
        <v/>
      </c>
      <c r="G58" s="452" t="str">
        <f t="shared" si="21"/>
        <v/>
      </c>
      <c r="H58" s="452" t="str">
        <f t="shared" si="21"/>
        <v/>
      </c>
      <c r="I58" s="452" t="str">
        <f>IFERROR((I57-H57)/H57,"")</f>
        <v/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customFormat="1" ht="13.5" customHeight="1" x14ac:dyDescent="0.4">
      <c r="A59" s="1"/>
      <c r="B59" s="566" t="s">
        <v>40</v>
      </c>
      <c r="C59" s="567"/>
      <c r="D59" s="567"/>
      <c r="E59" s="567"/>
      <c r="F59" s="567"/>
      <c r="G59" s="567"/>
      <c r="H59" s="567"/>
      <c r="I59" s="56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customFormat="1" x14ac:dyDescent="0.4">
      <c r="A60" s="1"/>
      <c r="B60" s="20"/>
      <c r="C60" s="20"/>
      <c r="D60" s="20"/>
      <c r="E60" s="20"/>
      <c r="F60" s="20"/>
      <c r="G60" s="20"/>
      <c r="H60" s="20"/>
      <c r="I60" s="2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customFormat="1" ht="17.600000000000001" x14ac:dyDescent="0.4">
      <c r="A61" s="1"/>
      <c r="B61" s="93" t="s">
        <v>33</v>
      </c>
      <c r="C61" s="90"/>
      <c r="D61" s="90"/>
      <c r="E61" s="90"/>
      <c r="F61" s="90"/>
      <c r="G61" s="90"/>
      <c r="H61" s="90"/>
      <c r="I61" s="9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customFormat="1" ht="11.25" customHeight="1" x14ac:dyDescent="0.4">
      <c r="A62" s="1"/>
      <c r="B62" s="20"/>
      <c r="C62" s="20"/>
      <c r="D62" s="20"/>
      <c r="E62" s="20"/>
      <c r="F62" s="20"/>
      <c r="G62" s="20"/>
      <c r="H62" s="20"/>
      <c r="I62" s="2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customFormat="1" ht="3.75" customHeight="1" x14ac:dyDescent="0.4">
      <c r="A63" s="1"/>
      <c r="B63" s="44"/>
      <c r="C63" s="44"/>
      <c r="D63" s="44"/>
      <c r="E63" s="44"/>
      <c r="F63" s="44"/>
      <c r="G63" s="44"/>
      <c r="H63" s="44"/>
      <c r="I63" s="4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customFormat="1" x14ac:dyDescent="0.4">
      <c r="A64" s="1"/>
      <c r="B64" s="45" t="s">
        <v>34</v>
      </c>
      <c r="C64" s="45"/>
      <c r="D64" s="44"/>
      <c r="E64" s="44"/>
      <c r="F64" s="44"/>
      <c r="G64" s="44"/>
      <c r="H64" s="44"/>
      <c r="I64" s="4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customFormat="1" x14ac:dyDescent="0.4">
      <c r="A65" s="1"/>
      <c r="B65" s="44"/>
      <c r="C65" s="44"/>
      <c r="D65" s="44"/>
      <c r="E65" s="44"/>
      <c r="F65" s="44"/>
      <c r="G65" s="44"/>
      <c r="H65" s="44"/>
      <c r="I65" s="4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customFormat="1" ht="15" x14ac:dyDescent="0.4">
      <c r="A66" s="1"/>
      <c r="B66" s="12"/>
      <c r="C66" s="13" t="s">
        <v>35</v>
      </c>
      <c r="D66" s="75"/>
      <c r="E66" s="44"/>
      <c r="F66" s="44"/>
      <c r="G66" s="44"/>
      <c r="H66" s="44"/>
      <c r="I66" s="4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customFormat="1" ht="15" x14ac:dyDescent="0.4">
      <c r="A67" s="1"/>
      <c r="B67" s="19" t="s">
        <v>36</v>
      </c>
      <c r="C67" s="47" t="str">
        <f>IF(SUM(DR!D35:M35)&lt;&gt;0,"Sim","-")</f>
        <v>-</v>
      </c>
      <c r="D67" s="76"/>
      <c r="E67" s="47"/>
      <c r="F67" s="44"/>
      <c r="G67" s="44"/>
      <c r="H67" s="44"/>
      <c r="I67" s="4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customFormat="1" x14ac:dyDescent="0.4">
      <c r="A68" s="1"/>
      <c r="B68" s="19" t="s">
        <v>3</v>
      </c>
      <c r="C68" s="47" t="str">
        <f>IF(SUM(BAL!D81:M81)&lt;&gt;0,"Sim","-")</f>
        <v>-</v>
      </c>
      <c r="D68" s="47"/>
      <c r="E68" s="47"/>
      <c r="F68" s="44"/>
      <c r="G68" s="44"/>
      <c r="H68" s="44"/>
      <c r="I68" s="4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customFormat="1" x14ac:dyDescent="0.4">
      <c r="A69" s="1"/>
      <c r="B69" s="19" t="s">
        <v>37</v>
      </c>
      <c r="C69" s="47" t="str">
        <f>IF(SUM(DFC!D47)&lt;&gt;0,"Sim","-")</f>
        <v>-</v>
      </c>
      <c r="D69" s="47"/>
      <c r="E69" s="47"/>
      <c r="F69" s="44"/>
      <c r="G69" s="44"/>
      <c r="H69" s="44"/>
      <c r="I69" s="4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customFormat="1" x14ac:dyDescent="0.4">
      <c r="A70" s="1"/>
      <c r="B70" s="19" t="s">
        <v>32</v>
      </c>
      <c r="C70" s="47" t="str">
        <f>IF(SUM(Investimentos!G42:N42)&lt;&gt;0,"SIM","-")</f>
        <v>-</v>
      </c>
      <c r="D70" s="47"/>
      <c r="E70" s="47"/>
      <c r="F70" s="44"/>
      <c r="G70" s="44"/>
      <c r="H70" s="44"/>
      <c r="I70" s="4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customFormat="1" ht="6" customHeight="1" x14ac:dyDescent="0.4">
      <c r="A71" s="1"/>
      <c r="B71" s="48"/>
      <c r="C71" s="48"/>
      <c r="D71" s="47"/>
      <c r="E71" s="49"/>
      <c r="F71" s="46"/>
      <c r="G71" s="46"/>
      <c r="H71" s="46"/>
      <c r="I71" s="4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customFormat="1" ht="15" x14ac:dyDescent="0.4">
      <c r="A72" s="1"/>
      <c r="B72" s="76"/>
      <c r="C72" s="76"/>
      <c r="D72" s="76"/>
      <c r="E72" s="76"/>
      <c r="F72" s="76"/>
      <c r="G72" s="76"/>
      <c r="H72" s="76"/>
      <c r="I72" s="7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customFormat="1" ht="15" hidden="1" x14ac:dyDescent="0.4">
      <c r="A73" s="1"/>
      <c r="B73" s="76"/>
      <c r="C73" s="76"/>
      <c r="D73" s="76"/>
      <c r="E73" s="76"/>
      <c r="F73" s="76"/>
      <c r="G73" s="76"/>
      <c r="H73" s="76"/>
      <c r="I73" s="7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customFormat="1" ht="15" hidden="1" x14ac:dyDescent="0.4">
      <c r="A74" s="1"/>
      <c r="B74" s="76"/>
      <c r="C74" s="76"/>
      <c r="D74" s="76"/>
      <c r="E74" s="76"/>
      <c r="F74" s="76"/>
      <c r="G74" s="76"/>
      <c r="H74" s="76"/>
      <c r="I74" s="7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" hidden="1" x14ac:dyDescent="0.4">
      <c r="B75" s="76"/>
      <c r="C75" s="76"/>
      <c r="D75" s="76"/>
      <c r="E75" s="76"/>
      <c r="F75" s="76"/>
      <c r="G75" s="76"/>
      <c r="H75" s="76"/>
      <c r="I75" s="76"/>
    </row>
    <row r="76" spans="1:39" ht="15" hidden="1" x14ac:dyDescent="0.4">
      <c r="B76" s="76"/>
      <c r="C76" s="76"/>
      <c r="D76" s="76"/>
      <c r="E76" s="76"/>
      <c r="F76" s="76"/>
      <c r="G76" s="76"/>
      <c r="H76" s="76"/>
      <c r="I76" s="76"/>
    </row>
    <row r="77" spans="1:39" ht="15" hidden="1" x14ac:dyDescent="0.4">
      <c r="B77" s="76"/>
      <c r="C77" s="76"/>
      <c r="D77" s="76"/>
      <c r="E77" s="76"/>
      <c r="F77" s="76"/>
      <c r="G77" s="76"/>
      <c r="H77" s="76"/>
      <c r="I77" s="76"/>
    </row>
    <row r="78" spans="1:39" ht="15" hidden="1" x14ac:dyDescent="0.4">
      <c r="B78" s="76"/>
      <c r="C78" s="76"/>
      <c r="D78" s="76"/>
      <c r="E78" s="76"/>
      <c r="F78" s="76"/>
      <c r="G78" s="76"/>
      <c r="H78" s="76"/>
      <c r="I78" s="76"/>
    </row>
    <row r="79" spans="1:39" ht="15" hidden="1" x14ac:dyDescent="0.4">
      <c r="B79" s="76"/>
      <c r="C79" s="76"/>
      <c r="D79" s="76"/>
      <c r="E79" s="76"/>
      <c r="F79" s="76"/>
      <c r="G79" s="76"/>
      <c r="H79" s="76"/>
      <c r="I79" s="76"/>
    </row>
    <row r="80" spans="1:39" ht="15" hidden="1" x14ac:dyDescent="0.4">
      <c r="B80" s="76"/>
      <c r="C80" s="76"/>
      <c r="D80" s="76"/>
      <c r="E80" s="76"/>
      <c r="F80" s="76"/>
      <c r="G80" s="76"/>
      <c r="H80" s="76"/>
      <c r="I80" s="76"/>
    </row>
    <row r="81" spans="2:9" ht="15" hidden="1" x14ac:dyDescent="0.4">
      <c r="B81" s="76"/>
      <c r="C81" s="76"/>
      <c r="D81" s="76"/>
      <c r="E81" s="76"/>
      <c r="F81" s="76"/>
      <c r="G81" s="76"/>
      <c r="H81" s="76"/>
      <c r="I81" s="76"/>
    </row>
    <row r="82" spans="2:9" ht="15" hidden="1" x14ac:dyDescent="0.4">
      <c r="B82" s="76"/>
      <c r="C82" s="76"/>
      <c r="D82" s="76"/>
      <c r="E82" s="76"/>
      <c r="F82" s="76"/>
      <c r="G82" s="76"/>
      <c r="H82" s="76"/>
      <c r="I82" s="76"/>
    </row>
    <row r="83" spans="2:9" ht="15" hidden="1" x14ac:dyDescent="0.4">
      <c r="B83" s="76"/>
      <c r="C83" s="76"/>
      <c r="D83" s="76"/>
      <c r="E83" s="76"/>
      <c r="F83" s="76"/>
      <c r="G83" s="76"/>
      <c r="H83" s="76"/>
      <c r="I83" s="76"/>
    </row>
    <row r="84" spans="2:9" ht="15" hidden="1" x14ac:dyDescent="0.4">
      <c r="B84" s="76"/>
      <c r="C84" s="76"/>
      <c r="D84" s="76"/>
      <c r="E84" s="76"/>
      <c r="F84" s="76"/>
      <c r="G84" s="76"/>
      <c r="H84" s="76"/>
      <c r="I84" s="76"/>
    </row>
    <row r="85" spans="2:9" ht="15" hidden="1" x14ac:dyDescent="0.4">
      <c r="B85" s="76"/>
      <c r="C85" s="76"/>
      <c r="D85" s="76"/>
      <c r="E85" s="76"/>
      <c r="F85" s="76"/>
      <c r="G85" s="76"/>
      <c r="H85" s="76"/>
      <c r="I85" s="76"/>
    </row>
    <row r="86" spans="2:9" ht="15" hidden="1" x14ac:dyDescent="0.4">
      <c r="B86" s="76"/>
      <c r="C86" s="76"/>
      <c r="D86" s="76"/>
      <c r="E86" s="76"/>
      <c r="F86" s="76"/>
      <c r="G86" s="76"/>
      <c r="H86" s="76"/>
      <c r="I86" s="76"/>
    </row>
    <row r="87" spans="2:9" ht="15" hidden="1" x14ac:dyDescent="0.4">
      <c r="B87" s="76"/>
      <c r="C87" s="76"/>
      <c r="D87" s="76"/>
      <c r="E87" s="76"/>
      <c r="F87" s="76"/>
      <c r="G87" s="76"/>
      <c r="H87" s="76"/>
      <c r="I87" s="76"/>
    </row>
    <row r="88" spans="2:9" ht="15" hidden="1" x14ac:dyDescent="0.4">
      <c r="B88" s="76"/>
      <c r="C88" s="76"/>
      <c r="D88" s="76"/>
      <c r="E88" s="76"/>
      <c r="F88" s="76"/>
      <c r="G88" s="76"/>
      <c r="H88" s="76"/>
      <c r="I88" s="76"/>
    </row>
    <row r="89" spans="2:9" ht="15" hidden="1" x14ac:dyDescent="0.4">
      <c r="B89" s="76"/>
      <c r="C89" s="76"/>
      <c r="D89" s="76"/>
      <c r="E89" s="76"/>
      <c r="F89" s="76"/>
      <c r="G89" s="76"/>
      <c r="H89" s="76"/>
      <c r="I89" s="76"/>
    </row>
    <row r="90" spans="2:9" ht="15" hidden="1" x14ac:dyDescent="0.4">
      <c r="B90" s="76"/>
      <c r="C90" s="76"/>
      <c r="D90" s="76"/>
      <c r="E90" s="76"/>
      <c r="F90" s="76"/>
      <c r="G90" s="76"/>
      <c r="H90" s="76"/>
      <c r="I90" s="76"/>
    </row>
    <row r="91" spans="2:9" ht="15" hidden="1" x14ac:dyDescent="0.4">
      <c r="B91" s="76"/>
      <c r="C91" s="76"/>
      <c r="D91" s="76"/>
      <c r="E91" s="76"/>
      <c r="F91" s="76"/>
      <c r="G91" s="76"/>
      <c r="H91" s="76"/>
      <c r="I91" s="76"/>
    </row>
    <row r="92" spans="2:9" ht="15" hidden="1" x14ac:dyDescent="0.4">
      <c r="B92" s="76"/>
      <c r="C92" s="76"/>
      <c r="D92" s="76"/>
      <c r="E92" s="76"/>
      <c r="F92" s="76"/>
      <c r="G92" s="76"/>
      <c r="H92" s="76"/>
      <c r="I92" s="76"/>
    </row>
    <row r="93" spans="2:9" ht="15" hidden="1" x14ac:dyDescent="0.4">
      <c r="B93" s="76"/>
      <c r="C93" s="76"/>
      <c r="D93" s="76"/>
      <c r="E93" s="76"/>
      <c r="F93" s="76"/>
      <c r="G93" s="76"/>
      <c r="H93" s="76"/>
      <c r="I93" s="76"/>
    </row>
    <row r="94" spans="2:9" ht="15" hidden="1" x14ac:dyDescent="0.4">
      <c r="B94" s="76"/>
      <c r="C94" s="76"/>
      <c r="D94" s="76"/>
      <c r="E94" s="76"/>
      <c r="F94" s="76"/>
      <c r="G94" s="76"/>
      <c r="H94" s="76"/>
      <c r="I94" s="76"/>
    </row>
    <row r="95" spans="2:9" ht="15" hidden="1" x14ac:dyDescent="0.4">
      <c r="B95" s="76"/>
      <c r="C95" s="76"/>
      <c r="D95" s="76"/>
      <c r="E95" s="76"/>
      <c r="F95" s="76"/>
      <c r="G95" s="76"/>
      <c r="H95" s="76"/>
      <c r="I95" s="76"/>
    </row>
    <row r="96" spans="2:9" ht="15" hidden="1" x14ac:dyDescent="0.4">
      <c r="B96" s="76"/>
      <c r="C96" s="76"/>
      <c r="D96" s="76"/>
      <c r="E96" s="76"/>
      <c r="F96" s="76"/>
      <c r="G96" s="76"/>
      <c r="H96" s="76"/>
      <c r="I96" s="76"/>
    </row>
    <row r="97" spans="2:9" ht="15" hidden="1" x14ac:dyDescent="0.4">
      <c r="B97" s="76"/>
      <c r="C97" s="76"/>
      <c r="D97" s="76"/>
      <c r="E97" s="76"/>
      <c r="F97" s="76"/>
      <c r="G97" s="76"/>
      <c r="H97" s="76"/>
      <c r="I97" s="76"/>
    </row>
    <row r="98" spans="2:9" ht="15" hidden="1" x14ac:dyDescent="0.4">
      <c r="B98" s="76"/>
      <c r="C98" s="76"/>
      <c r="D98" s="76"/>
      <c r="E98" s="76"/>
      <c r="F98" s="76"/>
      <c r="G98" s="76"/>
      <c r="H98" s="76"/>
      <c r="I98" s="76"/>
    </row>
    <row r="99" spans="2:9" ht="15" hidden="1" x14ac:dyDescent="0.4">
      <c r="B99" s="76"/>
      <c r="C99" s="76"/>
      <c r="D99" s="76"/>
      <c r="E99" s="76"/>
      <c r="F99" s="76"/>
      <c r="G99" s="76"/>
      <c r="H99" s="76"/>
      <c r="I99" s="76"/>
    </row>
    <row r="100" spans="2:9" ht="15" hidden="1" x14ac:dyDescent="0.4">
      <c r="B100" s="76"/>
      <c r="C100" s="76"/>
      <c r="D100" s="76"/>
      <c r="E100" s="76"/>
      <c r="F100" s="76"/>
      <c r="G100" s="76"/>
      <c r="H100" s="76"/>
      <c r="I100" s="76"/>
    </row>
    <row r="101" spans="2:9" ht="15" hidden="1" x14ac:dyDescent="0.4">
      <c r="B101" s="76"/>
      <c r="C101" s="76"/>
      <c r="D101" s="76"/>
      <c r="E101" s="76"/>
      <c r="F101" s="76"/>
      <c r="G101" s="76"/>
      <c r="H101" s="76"/>
      <c r="I101" s="76"/>
    </row>
    <row r="102" spans="2:9" ht="15" hidden="1" x14ac:dyDescent="0.4">
      <c r="B102" s="76"/>
      <c r="C102" s="76"/>
      <c r="D102" s="76"/>
      <c r="E102" s="76"/>
      <c r="F102" s="76"/>
      <c r="G102" s="76"/>
      <c r="H102" s="76"/>
      <c r="I102" s="76"/>
    </row>
    <row r="103" spans="2:9" ht="15" hidden="1" x14ac:dyDescent="0.4">
      <c r="B103" s="76"/>
      <c r="C103" s="76"/>
      <c r="D103" s="76"/>
      <c r="E103" s="76"/>
      <c r="F103" s="76"/>
      <c r="G103" s="76"/>
      <c r="H103" s="76"/>
      <c r="I103" s="76"/>
    </row>
    <row r="104" spans="2:9" ht="15" hidden="1" x14ac:dyDescent="0.4">
      <c r="B104" s="76"/>
      <c r="C104" s="76"/>
      <c r="D104" s="76"/>
      <c r="E104" s="76"/>
      <c r="F104" s="76"/>
      <c r="G104" s="76"/>
      <c r="H104" s="76"/>
      <c r="I104" s="76"/>
    </row>
    <row r="105" spans="2:9" ht="15" hidden="1" x14ac:dyDescent="0.4">
      <c r="B105" s="76"/>
      <c r="C105" s="76"/>
      <c r="D105" s="76"/>
      <c r="E105" s="76"/>
      <c r="F105" s="76"/>
      <c r="G105" s="76"/>
      <c r="H105" s="76"/>
      <c r="I105" s="76"/>
    </row>
    <row r="106" spans="2:9" ht="15" hidden="1" x14ac:dyDescent="0.4">
      <c r="B106" s="76"/>
      <c r="C106" s="76"/>
      <c r="D106" s="76"/>
      <c r="E106" s="76"/>
      <c r="F106" s="76"/>
      <c r="G106" s="76"/>
      <c r="H106" s="76"/>
      <c r="I106" s="76"/>
    </row>
    <row r="107" spans="2:9" ht="15" hidden="1" x14ac:dyDescent="0.4">
      <c r="B107" s="76"/>
      <c r="C107" s="76"/>
      <c r="D107" s="76"/>
      <c r="E107" s="76"/>
      <c r="F107" s="76"/>
      <c r="G107" s="76"/>
      <c r="H107" s="76"/>
      <c r="I107" s="76"/>
    </row>
    <row r="108" spans="2:9" ht="15" hidden="1" x14ac:dyDescent="0.4">
      <c r="B108" s="76"/>
      <c r="C108" s="76"/>
      <c r="D108" s="76"/>
      <c r="E108" s="76"/>
      <c r="F108" s="76"/>
      <c r="G108" s="76"/>
      <c r="H108" s="76"/>
      <c r="I108" s="76"/>
    </row>
    <row r="109" spans="2:9" ht="15" hidden="1" x14ac:dyDescent="0.4">
      <c r="B109" s="76"/>
      <c r="C109" s="76"/>
      <c r="D109" s="76"/>
      <c r="E109" s="76"/>
      <c r="F109" s="76"/>
      <c r="G109" s="76"/>
      <c r="H109" s="76"/>
      <c r="I109" s="76"/>
    </row>
    <row r="110" spans="2:9" ht="15" hidden="1" x14ac:dyDescent="0.4">
      <c r="B110" s="76"/>
      <c r="C110" s="76"/>
      <c r="D110" s="76"/>
      <c r="E110" s="76"/>
      <c r="F110" s="76"/>
      <c r="G110" s="76"/>
      <c r="H110" s="76"/>
      <c r="I110" s="76"/>
    </row>
    <row r="111" spans="2:9" ht="15" hidden="1" x14ac:dyDescent="0.4">
      <c r="B111" s="76"/>
      <c r="C111" s="76"/>
      <c r="D111" s="76"/>
      <c r="E111" s="76"/>
      <c r="F111" s="76"/>
      <c r="G111" s="76"/>
      <c r="H111" s="76"/>
      <c r="I111" s="76"/>
    </row>
    <row r="112" spans="2:9" ht="15" hidden="1" x14ac:dyDescent="0.4">
      <c r="B112" s="76"/>
      <c r="C112" s="76"/>
      <c r="D112" s="76"/>
      <c r="E112" s="76"/>
      <c r="F112" s="76"/>
      <c r="G112" s="76"/>
      <c r="H112" s="76"/>
      <c r="I112" s="76"/>
    </row>
    <row r="113" spans="2:9" ht="15" hidden="1" x14ac:dyDescent="0.4">
      <c r="B113" s="76"/>
      <c r="C113" s="76"/>
      <c r="D113" s="76"/>
      <c r="E113" s="76"/>
      <c r="F113" s="76"/>
      <c r="G113" s="76"/>
      <c r="H113" s="76"/>
      <c r="I113" s="76"/>
    </row>
    <row r="114" spans="2:9" ht="15" hidden="1" x14ac:dyDescent="0.4">
      <c r="B114" s="76"/>
      <c r="C114" s="76"/>
      <c r="D114" s="76"/>
      <c r="E114" s="76"/>
      <c r="F114" s="76"/>
      <c r="G114" s="76"/>
      <c r="H114" s="76"/>
      <c r="I114" s="76"/>
    </row>
    <row r="115" spans="2:9" ht="15" hidden="1" x14ac:dyDescent="0.4">
      <c r="B115" s="76"/>
      <c r="C115" s="76"/>
      <c r="D115" s="76"/>
      <c r="E115" s="76"/>
      <c r="F115" s="76"/>
      <c r="G115" s="76"/>
      <c r="H115" s="76"/>
      <c r="I115" s="76"/>
    </row>
    <row r="116" spans="2:9" ht="15" hidden="1" x14ac:dyDescent="0.4">
      <c r="B116" s="76"/>
      <c r="C116" s="76"/>
      <c r="D116" s="76"/>
      <c r="E116" s="76"/>
      <c r="F116" s="76"/>
      <c r="G116" s="76"/>
      <c r="H116" s="76"/>
      <c r="I116" s="76"/>
    </row>
    <row r="117" spans="2:9" ht="15" hidden="1" x14ac:dyDescent="0.4">
      <c r="B117" s="76"/>
      <c r="C117" s="76"/>
      <c r="D117" s="76"/>
      <c r="E117" s="76"/>
      <c r="F117" s="76"/>
      <c r="G117" s="76"/>
      <c r="H117" s="76"/>
      <c r="I117" s="76"/>
    </row>
    <row r="118" spans="2:9" ht="15" hidden="1" x14ac:dyDescent="0.4">
      <c r="B118" s="76"/>
      <c r="C118" s="76"/>
      <c r="D118" s="76"/>
      <c r="E118" s="76"/>
      <c r="F118" s="76"/>
      <c r="G118" s="76"/>
      <c r="H118" s="76"/>
      <c r="I118" s="76"/>
    </row>
    <row r="119" spans="2:9" ht="15" hidden="1" x14ac:dyDescent="0.4">
      <c r="B119" s="76"/>
      <c r="C119" s="76"/>
      <c r="D119" s="76"/>
      <c r="E119" s="76"/>
      <c r="F119" s="76"/>
      <c r="G119" s="76"/>
      <c r="H119" s="76"/>
      <c r="I119" s="76"/>
    </row>
    <row r="120" spans="2:9" ht="15" hidden="1" x14ac:dyDescent="0.4">
      <c r="B120" s="76"/>
      <c r="C120" s="76"/>
      <c r="D120" s="76"/>
      <c r="E120" s="76"/>
      <c r="F120" s="76"/>
      <c r="G120" s="76"/>
      <c r="H120" s="76"/>
      <c r="I120" s="76"/>
    </row>
    <row r="121" spans="2:9" ht="15" hidden="1" x14ac:dyDescent="0.4">
      <c r="B121" s="76"/>
      <c r="C121" s="76"/>
      <c r="D121" s="76"/>
      <c r="E121" s="76"/>
      <c r="F121" s="76"/>
      <c r="G121" s="76"/>
      <c r="H121" s="76"/>
      <c r="I121" s="76"/>
    </row>
    <row r="122" spans="2:9" ht="15" hidden="1" x14ac:dyDescent="0.4">
      <c r="B122" s="76"/>
      <c r="C122" s="76"/>
      <c r="D122" s="76"/>
      <c r="E122" s="76"/>
      <c r="F122" s="76"/>
      <c r="G122" s="76"/>
      <c r="H122" s="76"/>
      <c r="I122" s="76"/>
    </row>
    <row r="123" spans="2:9" ht="15" hidden="1" x14ac:dyDescent="0.4">
      <c r="B123" s="76"/>
      <c r="C123" s="76"/>
      <c r="D123" s="76"/>
      <c r="E123" s="76"/>
      <c r="F123" s="76"/>
      <c r="G123" s="76"/>
      <c r="H123" s="76"/>
      <c r="I123" s="76"/>
    </row>
    <row r="124" spans="2:9" ht="15" hidden="1" x14ac:dyDescent="0.4">
      <c r="B124" s="76"/>
      <c r="C124" s="76"/>
      <c r="D124" s="76"/>
      <c r="E124" s="76"/>
      <c r="F124" s="76"/>
      <c r="G124" s="76"/>
      <c r="H124" s="76"/>
      <c r="I124" s="76"/>
    </row>
    <row r="125" spans="2:9" ht="15" hidden="1" x14ac:dyDescent="0.4">
      <c r="B125" s="76"/>
      <c r="C125" s="76"/>
      <c r="D125" s="76"/>
      <c r="E125" s="76"/>
      <c r="F125" s="76"/>
      <c r="G125" s="76"/>
      <c r="H125" s="76"/>
      <c r="I125" s="76"/>
    </row>
    <row r="126" spans="2:9" ht="15" hidden="1" x14ac:dyDescent="0.4">
      <c r="B126" s="76"/>
      <c r="C126" s="76"/>
      <c r="D126" s="76"/>
      <c r="E126" s="76"/>
      <c r="F126" s="76"/>
      <c r="G126" s="76"/>
      <c r="H126" s="76"/>
      <c r="I126" s="76"/>
    </row>
    <row r="127" spans="2:9" ht="15" hidden="1" x14ac:dyDescent="0.4">
      <c r="B127" s="76"/>
      <c r="C127" s="76"/>
      <c r="D127" s="76"/>
      <c r="E127" s="76"/>
      <c r="F127" s="76"/>
      <c r="G127" s="76"/>
      <c r="H127" s="76"/>
      <c r="I127" s="76"/>
    </row>
    <row r="128" spans="2:9" ht="15" hidden="1" x14ac:dyDescent="0.4">
      <c r="B128" s="76"/>
      <c r="C128" s="76"/>
      <c r="D128" s="76"/>
      <c r="E128" s="76"/>
      <c r="F128" s="76"/>
      <c r="G128" s="76"/>
      <c r="H128" s="76"/>
      <c r="I128" s="76"/>
    </row>
    <row r="129" spans="2:9" ht="15" hidden="1" x14ac:dyDescent="0.4">
      <c r="B129" s="76"/>
      <c r="C129" s="76"/>
      <c r="D129" s="76"/>
      <c r="E129" s="76"/>
      <c r="F129" s="76"/>
      <c r="G129" s="76"/>
      <c r="H129" s="76"/>
      <c r="I129" s="76"/>
    </row>
    <row r="130" spans="2:9" ht="15" hidden="1" x14ac:dyDescent="0.4">
      <c r="B130" s="76"/>
      <c r="C130" s="76"/>
      <c r="D130" s="76"/>
      <c r="E130" s="76"/>
      <c r="F130" s="76"/>
      <c r="G130" s="76"/>
      <c r="H130" s="76"/>
      <c r="I130" s="76"/>
    </row>
    <row r="131" spans="2:9" ht="15" hidden="1" x14ac:dyDescent="0.4">
      <c r="B131" s="76"/>
      <c r="C131" s="76"/>
      <c r="D131" s="76"/>
      <c r="E131" s="76"/>
      <c r="F131" s="76"/>
      <c r="G131" s="76"/>
      <c r="H131" s="76"/>
      <c r="I131" s="76"/>
    </row>
    <row r="132" spans="2:9" ht="15" hidden="1" x14ac:dyDescent="0.4">
      <c r="B132" s="76"/>
      <c r="C132" s="76"/>
      <c r="D132" s="76"/>
      <c r="E132" s="76"/>
      <c r="F132" s="76"/>
      <c r="G132" s="76"/>
      <c r="H132" s="76"/>
      <c r="I132" s="76"/>
    </row>
    <row r="133" spans="2:9" ht="15" hidden="1" x14ac:dyDescent="0.4">
      <c r="B133" s="76"/>
      <c r="C133" s="76"/>
      <c r="D133" s="76"/>
      <c r="E133" s="76"/>
      <c r="F133" s="76"/>
      <c r="G133" s="76"/>
      <c r="H133" s="76"/>
      <c r="I133" s="76"/>
    </row>
    <row r="134" spans="2:9" ht="15" hidden="1" x14ac:dyDescent="0.4">
      <c r="B134" s="76"/>
      <c r="C134" s="76"/>
      <c r="D134" s="76"/>
      <c r="E134" s="76"/>
      <c r="F134" s="76"/>
      <c r="G134" s="76"/>
      <c r="H134" s="76"/>
      <c r="I134" s="76"/>
    </row>
    <row r="135" spans="2:9" ht="15" hidden="1" x14ac:dyDescent="0.4">
      <c r="B135" s="76"/>
      <c r="C135" s="76"/>
      <c r="D135" s="76"/>
      <c r="E135" s="76"/>
      <c r="F135" s="76"/>
      <c r="G135" s="76"/>
      <c r="H135" s="76"/>
      <c r="I135" s="76"/>
    </row>
    <row r="136" spans="2:9" ht="15" hidden="1" x14ac:dyDescent="0.4">
      <c r="B136" s="76"/>
      <c r="C136" s="76"/>
      <c r="D136" s="76"/>
      <c r="E136" s="76"/>
      <c r="F136" s="76"/>
      <c r="G136" s="76"/>
      <c r="H136" s="76"/>
      <c r="I136" s="76"/>
    </row>
    <row r="137" spans="2:9" ht="15" hidden="1" x14ac:dyDescent="0.4">
      <c r="B137" s="76"/>
      <c r="C137" s="76"/>
      <c r="D137" s="76"/>
      <c r="E137" s="76"/>
      <c r="F137" s="76"/>
      <c r="G137" s="76"/>
      <c r="H137" s="76"/>
      <c r="I137" s="76"/>
    </row>
    <row r="138" spans="2:9" ht="15" hidden="1" x14ac:dyDescent="0.4">
      <c r="B138" s="76"/>
      <c r="C138" s="76"/>
      <c r="D138" s="76"/>
      <c r="E138" s="76"/>
      <c r="F138" s="76"/>
      <c r="G138" s="76"/>
      <c r="H138" s="76"/>
      <c r="I138" s="76"/>
    </row>
    <row r="139" spans="2:9" ht="15" hidden="1" x14ac:dyDescent="0.4">
      <c r="B139" s="76"/>
      <c r="C139" s="76"/>
      <c r="D139" s="76"/>
      <c r="E139" s="76"/>
      <c r="F139" s="76"/>
      <c r="G139" s="76"/>
      <c r="H139" s="76"/>
      <c r="I139" s="76"/>
    </row>
    <row r="140" spans="2:9" ht="15" hidden="1" x14ac:dyDescent="0.4">
      <c r="B140" s="76"/>
      <c r="C140" s="76"/>
      <c r="D140" s="76"/>
      <c r="E140" s="76"/>
      <c r="F140" s="76"/>
      <c r="G140" s="76"/>
      <c r="H140" s="76"/>
      <c r="I140" s="76"/>
    </row>
    <row r="141" spans="2:9" ht="15" hidden="1" x14ac:dyDescent="0.4">
      <c r="B141" s="76"/>
      <c r="C141" s="76"/>
      <c r="D141" s="76"/>
      <c r="E141" s="76"/>
      <c r="F141" s="76"/>
      <c r="G141" s="76"/>
      <c r="H141" s="76"/>
      <c r="I141" s="76"/>
    </row>
    <row r="142" spans="2:9" ht="15" hidden="1" x14ac:dyDescent="0.4">
      <c r="B142" s="76"/>
      <c r="C142" s="76"/>
      <c r="D142" s="76"/>
      <c r="E142" s="76"/>
      <c r="F142" s="76"/>
      <c r="G142" s="76"/>
      <c r="H142" s="76"/>
      <c r="I142" s="76"/>
    </row>
    <row r="143" spans="2:9" ht="15" hidden="1" x14ac:dyDescent="0.4">
      <c r="B143" s="76"/>
      <c r="C143" s="76"/>
      <c r="D143" s="76"/>
      <c r="E143" s="76"/>
      <c r="F143" s="76"/>
      <c r="G143" s="76"/>
      <c r="H143" s="76"/>
      <c r="I143" s="76"/>
    </row>
    <row r="144" spans="2:9" ht="15" hidden="1" x14ac:dyDescent="0.4">
      <c r="B144" s="76"/>
      <c r="C144" s="76"/>
      <c r="D144" s="76"/>
      <c r="E144" s="76"/>
      <c r="F144" s="76"/>
      <c r="G144" s="76"/>
      <c r="H144" s="76"/>
      <c r="I144" s="76"/>
    </row>
    <row r="145" spans="2:9" ht="15" hidden="1" x14ac:dyDescent="0.4">
      <c r="B145" s="76"/>
      <c r="C145" s="76"/>
      <c r="D145" s="76"/>
      <c r="E145" s="76"/>
      <c r="F145" s="76"/>
      <c r="G145" s="76"/>
      <c r="H145" s="76"/>
      <c r="I145" s="76"/>
    </row>
    <row r="146" spans="2:9" ht="15" hidden="1" x14ac:dyDescent="0.4">
      <c r="B146" s="76"/>
      <c r="C146" s="76"/>
      <c r="D146" s="76"/>
      <c r="E146" s="76"/>
      <c r="F146" s="76"/>
      <c r="G146" s="76"/>
      <c r="H146" s="76"/>
      <c r="I146" s="76"/>
    </row>
    <row r="147" spans="2:9" ht="15" hidden="1" x14ac:dyDescent="0.4">
      <c r="B147" s="76"/>
      <c r="C147" s="76"/>
      <c r="D147" s="76"/>
      <c r="E147" s="76"/>
      <c r="F147" s="76"/>
      <c r="G147" s="76"/>
      <c r="H147" s="76"/>
      <c r="I147" s="76"/>
    </row>
    <row r="148" spans="2:9" ht="15" hidden="1" x14ac:dyDescent="0.4">
      <c r="B148" s="76"/>
      <c r="C148" s="76"/>
      <c r="D148" s="76"/>
      <c r="E148" s="76"/>
      <c r="F148" s="76"/>
      <c r="G148" s="76"/>
      <c r="H148" s="76"/>
      <c r="I148" s="76"/>
    </row>
    <row r="149" spans="2:9" ht="15" hidden="1" x14ac:dyDescent="0.4">
      <c r="B149" s="76"/>
      <c r="C149" s="76"/>
      <c r="D149" s="76"/>
      <c r="E149" s="76"/>
      <c r="F149" s="76"/>
      <c r="G149" s="76"/>
      <c r="H149" s="76"/>
      <c r="I149" s="76"/>
    </row>
    <row r="150" spans="2:9" ht="15" hidden="1" x14ac:dyDescent="0.4">
      <c r="B150" s="76"/>
      <c r="C150" s="76"/>
      <c r="D150" s="76"/>
      <c r="E150" s="76"/>
      <c r="F150" s="76"/>
      <c r="G150" s="76"/>
      <c r="H150" s="76"/>
      <c r="I150" s="76"/>
    </row>
    <row r="151" spans="2:9" ht="15" hidden="1" x14ac:dyDescent="0.4">
      <c r="B151" s="76"/>
      <c r="C151" s="76"/>
      <c r="D151" s="76"/>
      <c r="E151" s="76"/>
      <c r="F151" s="76"/>
      <c r="G151" s="76"/>
      <c r="H151" s="76"/>
      <c r="I151" s="76"/>
    </row>
    <row r="152" spans="2:9" ht="15" hidden="1" x14ac:dyDescent="0.4">
      <c r="B152" s="76"/>
      <c r="C152" s="76"/>
      <c r="D152" s="76"/>
      <c r="E152" s="76"/>
      <c r="F152" s="76"/>
      <c r="G152" s="76"/>
      <c r="H152" s="76"/>
      <c r="I152" s="76"/>
    </row>
    <row r="153" spans="2:9" ht="15" hidden="1" x14ac:dyDescent="0.4">
      <c r="B153" s="76"/>
      <c r="C153" s="76"/>
      <c r="D153" s="76"/>
      <c r="E153" s="76"/>
      <c r="F153" s="76"/>
      <c r="G153" s="76"/>
      <c r="H153" s="76"/>
      <c r="I153" s="76"/>
    </row>
    <row r="154" spans="2:9" ht="15" hidden="1" x14ac:dyDescent="0.4">
      <c r="B154" s="76"/>
      <c r="C154" s="76"/>
      <c r="D154" s="76"/>
      <c r="E154" s="76"/>
      <c r="F154" s="76"/>
      <c r="G154" s="76"/>
      <c r="H154" s="76"/>
      <c r="I154" s="76"/>
    </row>
    <row r="155" spans="2:9" ht="15" hidden="1" x14ac:dyDescent="0.4">
      <c r="B155" s="76"/>
      <c r="C155" s="76"/>
      <c r="D155" s="76"/>
      <c r="E155" s="76"/>
      <c r="F155" s="76"/>
      <c r="G155" s="76"/>
      <c r="H155" s="76"/>
      <c r="I155" s="76"/>
    </row>
    <row r="156" spans="2:9" ht="15" hidden="1" x14ac:dyDescent="0.4">
      <c r="B156" s="76"/>
      <c r="C156" s="76"/>
      <c r="D156" s="76"/>
      <c r="E156" s="76"/>
      <c r="F156" s="76"/>
      <c r="G156" s="76"/>
      <c r="H156" s="76"/>
      <c r="I156" s="76"/>
    </row>
    <row r="157" spans="2:9" ht="15" hidden="1" x14ac:dyDescent="0.4">
      <c r="B157" s="76"/>
      <c r="C157" s="76"/>
      <c r="D157" s="76"/>
      <c r="E157" s="76"/>
      <c r="F157" s="76"/>
      <c r="G157" s="76"/>
      <c r="H157" s="76"/>
      <c r="I157" s="76"/>
    </row>
    <row r="158" spans="2:9" ht="15" hidden="1" x14ac:dyDescent="0.4">
      <c r="B158" s="76"/>
      <c r="C158" s="76"/>
      <c r="D158" s="76"/>
      <c r="E158" s="76"/>
      <c r="F158" s="76"/>
      <c r="G158" s="76"/>
      <c r="H158" s="76"/>
      <c r="I158" s="76"/>
    </row>
    <row r="159" spans="2:9" ht="15" hidden="1" x14ac:dyDescent="0.4">
      <c r="B159" s="76"/>
      <c r="C159" s="76"/>
      <c r="D159" s="76"/>
      <c r="E159" s="76"/>
      <c r="F159" s="76"/>
      <c r="G159" s="76"/>
      <c r="H159" s="76"/>
      <c r="I159" s="76"/>
    </row>
    <row r="160" spans="2:9" ht="15" hidden="1" x14ac:dyDescent="0.4">
      <c r="B160" s="76"/>
      <c r="C160" s="76"/>
      <c r="D160" s="76"/>
      <c r="E160" s="76"/>
      <c r="F160" s="76"/>
      <c r="G160" s="76"/>
      <c r="H160" s="76"/>
      <c r="I160" s="76"/>
    </row>
    <row r="161" spans="2:9" ht="15" hidden="1" x14ac:dyDescent="0.4">
      <c r="B161" s="76"/>
      <c r="C161" s="76"/>
      <c r="D161" s="76"/>
      <c r="E161" s="76"/>
      <c r="F161" s="76"/>
      <c r="G161" s="76"/>
      <c r="H161" s="76"/>
      <c r="I161" s="76"/>
    </row>
    <row r="162" spans="2:9" ht="15" hidden="1" x14ac:dyDescent="0.4">
      <c r="B162" s="76"/>
      <c r="C162" s="76"/>
      <c r="D162" s="76"/>
      <c r="E162" s="76"/>
      <c r="F162" s="76"/>
      <c r="G162" s="76"/>
      <c r="H162" s="76"/>
      <c r="I162" s="76"/>
    </row>
    <row r="163" spans="2:9" ht="15" hidden="1" x14ac:dyDescent="0.4">
      <c r="B163" s="76"/>
      <c r="C163" s="76"/>
      <c r="D163" s="76"/>
      <c r="E163" s="76"/>
      <c r="F163" s="76"/>
      <c r="G163" s="76"/>
      <c r="H163" s="76"/>
      <c r="I163" s="76"/>
    </row>
    <row r="164" spans="2:9" ht="15" hidden="1" x14ac:dyDescent="0.4">
      <c r="B164" s="76"/>
      <c r="C164" s="76"/>
      <c r="D164" s="76"/>
      <c r="E164" s="76"/>
      <c r="F164" s="76"/>
      <c r="G164" s="76"/>
      <c r="H164" s="76"/>
      <c r="I164" s="76"/>
    </row>
    <row r="165" spans="2:9" ht="15" hidden="1" x14ac:dyDescent="0.4">
      <c r="B165" s="76"/>
      <c r="C165" s="76"/>
      <c r="D165" s="76"/>
      <c r="E165" s="76"/>
      <c r="F165" s="76"/>
      <c r="G165" s="76"/>
      <c r="H165" s="76"/>
      <c r="I165" s="76"/>
    </row>
    <row r="166" spans="2:9" ht="15" hidden="1" x14ac:dyDescent="0.4">
      <c r="B166" s="76"/>
      <c r="C166" s="76"/>
      <c r="D166" s="76"/>
      <c r="E166" s="76"/>
      <c r="F166" s="76"/>
      <c r="G166" s="76"/>
      <c r="H166" s="76"/>
      <c r="I166" s="76"/>
    </row>
    <row r="167" spans="2:9" ht="15" hidden="1" x14ac:dyDescent="0.4">
      <c r="B167" s="76"/>
      <c r="C167" s="76"/>
      <c r="D167" s="76"/>
      <c r="E167" s="76"/>
      <c r="F167" s="76"/>
      <c r="G167" s="76"/>
      <c r="H167" s="76"/>
      <c r="I167" s="76"/>
    </row>
    <row r="168" spans="2:9" ht="15" hidden="1" x14ac:dyDescent="0.4">
      <c r="B168" s="76"/>
      <c r="C168" s="76"/>
      <c r="D168" s="76"/>
      <c r="E168" s="76"/>
      <c r="F168" s="76"/>
      <c r="G168" s="76"/>
      <c r="H168" s="76"/>
      <c r="I168" s="76"/>
    </row>
    <row r="169" spans="2:9" ht="15" hidden="1" x14ac:dyDescent="0.4">
      <c r="B169" s="76"/>
      <c r="C169" s="76"/>
      <c r="D169" s="76"/>
      <c r="E169" s="76"/>
      <c r="F169" s="76"/>
      <c r="G169" s="76"/>
      <c r="H169" s="76"/>
      <c r="I169" s="76"/>
    </row>
    <row r="170" spans="2:9" ht="15" hidden="1" x14ac:dyDescent="0.4">
      <c r="B170" s="76"/>
      <c r="C170" s="76"/>
      <c r="D170" s="76"/>
      <c r="E170" s="76"/>
      <c r="F170" s="76"/>
      <c r="G170" s="76"/>
      <c r="H170" s="76"/>
      <c r="I170" s="76"/>
    </row>
    <row r="171" spans="2:9" ht="15" hidden="1" x14ac:dyDescent="0.4">
      <c r="B171" s="76"/>
      <c r="C171" s="76"/>
      <c r="D171" s="76"/>
      <c r="E171" s="76"/>
      <c r="F171" s="76"/>
      <c r="G171" s="76"/>
      <c r="H171" s="76"/>
      <c r="I171" s="76"/>
    </row>
    <row r="172" spans="2:9" ht="15" hidden="1" x14ac:dyDescent="0.4">
      <c r="B172" s="76"/>
      <c r="C172" s="76"/>
      <c r="D172" s="76"/>
      <c r="E172" s="76"/>
      <c r="F172" s="76"/>
      <c r="G172" s="76"/>
      <c r="H172" s="76"/>
      <c r="I172" s="76"/>
    </row>
    <row r="173" spans="2:9" ht="15" hidden="1" x14ac:dyDescent="0.4">
      <c r="B173" s="76"/>
      <c r="C173" s="76"/>
      <c r="D173" s="76"/>
      <c r="E173" s="76"/>
      <c r="F173" s="76"/>
      <c r="G173" s="76"/>
      <c r="H173" s="76"/>
      <c r="I173" s="76"/>
    </row>
    <row r="174" spans="2:9" ht="15" hidden="1" x14ac:dyDescent="0.4">
      <c r="B174" s="76"/>
      <c r="C174" s="76"/>
      <c r="D174" s="76"/>
      <c r="E174" s="76"/>
      <c r="F174" s="76"/>
      <c r="G174" s="76"/>
      <c r="H174" s="76"/>
      <c r="I174" s="76"/>
    </row>
    <row r="175" spans="2:9" ht="15" hidden="1" x14ac:dyDescent="0.4">
      <c r="B175" s="76"/>
      <c r="C175" s="76"/>
      <c r="D175" s="76"/>
      <c r="E175" s="76"/>
      <c r="F175" s="76"/>
      <c r="G175" s="76"/>
      <c r="H175" s="76"/>
      <c r="I175" s="76"/>
    </row>
  </sheetData>
  <sheetProtection selectLockedCells="1"/>
  <mergeCells count="5">
    <mergeCell ref="B59:I59"/>
    <mergeCell ref="B17:I17"/>
    <mergeCell ref="B43:I43"/>
    <mergeCell ref="B49:I49"/>
    <mergeCell ref="B50:I50"/>
  </mergeCells>
  <conditionalFormatting sqref="C67:C70">
    <cfRule type="cellIs" dxfId="10" priority="1" operator="equal">
      <formula>"-"</formula>
    </cfRule>
  </conditionalFormatting>
  <conditionalFormatting sqref="C67:C71">
    <cfRule type="cellIs" dxfId="9" priority="2" operator="equal">
      <formula>"sim"</formula>
    </cfRule>
  </conditionalFormatting>
  <conditionalFormatting sqref="D71">
    <cfRule type="cellIs" dxfId="8" priority="4" operator="equal">
      <formula>"Sim"</formula>
    </cfRule>
  </conditionalFormatting>
  <conditionalFormatting sqref="D68:E70">
    <cfRule type="cellIs" dxfId="7" priority="10" operator="equal">
      <formula>"Sim"</formula>
    </cfRule>
  </conditionalFormatting>
  <conditionalFormatting sqref="E67 C68">
    <cfRule type="cellIs" dxfId="6" priority="11" operator="equal">
      <formula>"Sim"</formula>
    </cfRule>
  </conditionalFormatting>
  <dataValidations count="1">
    <dataValidation type="whole" allowBlank="1" showInputMessage="1" showErrorMessage="1" errorTitle="Erro" sqref="I4" xr:uid="{343F6122-971C-4FE9-986B-1AB3394F716E}">
      <formula1>0</formula1>
      <formula2>1E+32</formula2>
    </dataValidation>
  </dataValidations>
  <pageMargins left="0.7" right="0.7" top="0.75" bottom="0.75" header="0.3" footer="0.3"/>
  <pageSetup paperSize="9" orientation="portrait" verticalDpi="0" r:id="rId1"/>
  <ignoredErrors>
    <ignoredError sqref="D24:I26 D38:I38 D34:I34 D33:I33 D37:I37 D55:I55 D23:F23 G23:I23 D28:I28 D27:F27 G27:I27 D30:I30 D29:F29 G29:I29 D32:I32 D31:F31 G31:I31 D36:I36 D35:F35 G35:I35 D40:I40 D39:F39 G39:I39 D41:F41 G41:I4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04DD-CC5D-43ED-8247-5C596EC67B38}">
  <sheetPr codeName="Folha4">
    <tabColor rgb="FFF2A068"/>
  </sheetPr>
  <dimension ref="A1:AV313"/>
  <sheetViews>
    <sheetView zoomScale="80" zoomScaleNormal="80" workbookViewId="0">
      <pane ySplit="6" topLeftCell="A48" activePane="bottomLeft" state="frozen"/>
      <selection pane="bottomLeft" activeCell="D66" sqref="D66:M76"/>
    </sheetView>
  </sheetViews>
  <sheetFormatPr defaultColWidth="0" defaultRowHeight="14.6" zeroHeight="1" x14ac:dyDescent="0.4"/>
  <cols>
    <col min="1" max="1" width="9.15234375" customWidth="1"/>
    <col min="2" max="2" width="56.84375" bestFit="1" customWidth="1"/>
    <col min="3" max="3" width="17.53515625" customWidth="1"/>
    <col min="4" max="4" width="20.69140625" bestFit="1" customWidth="1"/>
    <col min="5" max="13" width="20" bestFit="1" customWidth="1"/>
    <col min="14" max="14" width="9.15234375" customWidth="1"/>
    <col min="15" max="15" width="13" hidden="1" customWidth="1"/>
    <col min="16" max="16" width="9.15234375" hidden="1" customWidth="1"/>
    <col min="17" max="48" width="0" hidden="1" customWidth="1"/>
    <col min="49" max="16384" width="9.15234375" hidden="1"/>
  </cols>
  <sheetData>
    <row r="1" spans="1:4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15" x14ac:dyDescent="0.4">
      <c r="A3" s="1"/>
      <c r="B3" s="99" t="s">
        <v>50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15" x14ac:dyDescent="0.4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221" t="s">
        <v>129</v>
      </c>
      <c r="M4" s="202" t="s">
        <v>350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</row>
    <row r="5" spans="1:47" x14ac:dyDescent="0.4">
      <c r="A5" s="1"/>
      <c r="B5" s="571" t="s">
        <v>51</v>
      </c>
      <c r="C5" s="572" t="s">
        <v>52</v>
      </c>
      <c r="D5" s="100">
        <v>2024</v>
      </c>
      <c r="E5" s="100">
        <v>2025</v>
      </c>
      <c r="F5" s="100">
        <v>2026</v>
      </c>
      <c r="G5" s="100">
        <v>2026</v>
      </c>
      <c r="H5" s="100" t="s">
        <v>462</v>
      </c>
      <c r="I5" s="100" t="s">
        <v>463</v>
      </c>
      <c r="J5" s="100" t="s">
        <v>464</v>
      </c>
      <c r="K5" s="100" t="s">
        <v>465</v>
      </c>
      <c r="L5" s="100">
        <v>2028</v>
      </c>
      <c r="M5" s="100">
        <v>2029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x14ac:dyDescent="0.4">
      <c r="A6" s="1"/>
      <c r="B6" s="571"/>
      <c r="C6" s="572"/>
      <c r="D6" s="101" t="s">
        <v>77</v>
      </c>
      <c r="E6" s="101" t="s">
        <v>77</v>
      </c>
      <c r="F6" s="101" t="s">
        <v>78</v>
      </c>
      <c r="G6" s="101" t="s">
        <v>368</v>
      </c>
      <c r="H6" s="101" t="s">
        <v>79</v>
      </c>
      <c r="I6" s="101" t="s">
        <v>79</v>
      </c>
      <c r="J6" s="101" t="s">
        <v>79</v>
      </c>
      <c r="K6" s="101" t="s">
        <v>79</v>
      </c>
      <c r="L6" s="101" t="s">
        <v>79</v>
      </c>
      <c r="M6" s="101" t="s">
        <v>79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5" x14ac:dyDescent="0.4">
      <c r="A7" s="1"/>
      <c r="B7" s="573" t="s">
        <v>104</v>
      </c>
      <c r="C7" s="573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x14ac:dyDescent="0.4">
      <c r="A8" s="1"/>
      <c r="B8" s="103" t="s">
        <v>80</v>
      </c>
      <c r="C8" s="103"/>
      <c r="D8" s="145"/>
      <c r="E8" s="145"/>
      <c r="F8" s="145"/>
      <c r="G8" s="145"/>
      <c r="H8" s="145"/>
      <c r="I8" s="145"/>
      <c r="J8" s="145"/>
      <c r="K8" s="145"/>
      <c r="L8" s="145"/>
      <c r="M8" s="14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x14ac:dyDescent="0.4">
      <c r="A9" s="1"/>
      <c r="B9" s="104" t="s">
        <v>53</v>
      </c>
      <c r="C9" s="104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x14ac:dyDescent="0.4">
      <c r="A10" s="1"/>
      <c r="B10" s="104" t="s">
        <v>81</v>
      </c>
      <c r="C10" s="104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x14ac:dyDescent="0.4">
      <c r="A11" s="1"/>
      <c r="B11" s="104" t="s">
        <v>54</v>
      </c>
      <c r="C11" s="104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</row>
    <row r="12" spans="1:47" x14ac:dyDescent="0.4">
      <c r="A12" s="1"/>
      <c r="B12" s="104" t="s">
        <v>55</v>
      </c>
      <c r="C12" s="104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7" x14ac:dyDescent="0.4">
      <c r="A13" s="1"/>
      <c r="B13" s="104" t="s">
        <v>82</v>
      </c>
      <c r="C13" s="104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x14ac:dyDescent="0.4">
      <c r="A14" s="1"/>
      <c r="B14" s="104" t="s">
        <v>83</v>
      </c>
      <c r="C14" s="104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x14ac:dyDescent="0.4">
      <c r="A15" s="1"/>
      <c r="B15" s="104" t="s">
        <v>84</v>
      </c>
      <c r="C15" s="104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x14ac:dyDescent="0.4">
      <c r="A16" s="1"/>
      <c r="B16" s="104" t="s">
        <v>85</v>
      </c>
      <c r="C16" s="104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x14ac:dyDescent="0.4">
      <c r="A17" s="1"/>
      <c r="B17" s="104" t="s">
        <v>86</v>
      </c>
      <c r="C17" s="104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</row>
    <row r="18" spans="1:47" x14ac:dyDescent="0.4">
      <c r="A18" s="1"/>
      <c r="B18" s="104" t="s">
        <v>56</v>
      </c>
      <c r="C18" s="104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</row>
    <row r="19" spans="1:47" x14ac:dyDescent="0.4">
      <c r="A19" s="1"/>
      <c r="B19" s="104" t="s">
        <v>87</v>
      </c>
      <c r="C19" s="104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</row>
    <row r="20" spans="1:47" x14ac:dyDescent="0.4">
      <c r="A20" s="1"/>
      <c r="B20" s="104" t="s">
        <v>88</v>
      </c>
      <c r="C20" s="104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</row>
    <row r="21" spans="1:47" ht="15" x14ac:dyDescent="0.4">
      <c r="A21" s="1"/>
      <c r="B21" s="94"/>
      <c r="C21" s="97" t="s">
        <v>57</v>
      </c>
      <c r="D21" s="228">
        <f>SUM(D9:D20)</f>
        <v>0</v>
      </c>
      <c r="E21" s="228">
        <f t="shared" ref="E21:M21" si="0">SUM(E9:E20)</f>
        <v>0</v>
      </c>
      <c r="F21" s="228">
        <f t="shared" si="0"/>
        <v>0</v>
      </c>
      <c r="G21" s="228">
        <f t="shared" si="0"/>
        <v>0</v>
      </c>
      <c r="H21" s="228">
        <f t="shared" si="0"/>
        <v>0</v>
      </c>
      <c r="I21" s="228">
        <f t="shared" si="0"/>
        <v>0</v>
      </c>
      <c r="J21" s="228">
        <f t="shared" si="0"/>
        <v>0</v>
      </c>
      <c r="K21" s="228">
        <f t="shared" si="0"/>
        <v>0</v>
      </c>
      <c r="L21" s="228">
        <f t="shared" si="0"/>
        <v>0</v>
      </c>
      <c r="M21" s="228">
        <f t="shared" si="0"/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</row>
    <row r="22" spans="1:47" ht="15" x14ac:dyDescent="0.4">
      <c r="A22" s="1"/>
      <c r="B22" s="94"/>
      <c r="C22" s="95"/>
      <c r="D22" s="147"/>
      <c r="E22" s="147"/>
      <c r="F22" s="147"/>
      <c r="G22" s="147"/>
      <c r="H22" s="147"/>
      <c r="I22" s="147"/>
      <c r="J22" s="147"/>
      <c r="K22" s="147"/>
      <c r="L22" s="147"/>
      <c r="M22" s="148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</row>
    <row r="23" spans="1:47" x14ac:dyDescent="0.4">
      <c r="A23" s="1"/>
      <c r="B23" s="103" t="s">
        <v>89</v>
      </c>
      <c r="C23" s="103"/>
      <c r="D23" s="145"/>
      <c r="E23" s="145"/>
      <c r="F23" s="145"/>
      <c r="G23" s="145"/>
      <c r="H23" s="145"/>
      <c r="I23" s="145"/>
      <c r="J23" s="145"/>
      <c r="K23" s="145"/>
      <c r="L23" s="145"/>
      <c r="M23" s="14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</row>
    <row r="24" spans="1:47" x14ac:dyDescent="0.4">
      <c r="A24" s="1"/>
      <c r="B24" s="104" t="s">
        <v>58</v>
      </c>
      <c r="C24" s="104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</row>
    <row r="25" spans="1:47" x14ac:dyDescent="0.4">
      <c r="A25" s="1"/>
      <c r="B25" s="104" t="s">
        <v>55</v>
      </c>
      <c r="C25" s="104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</row>
    <row r="26" spans="1:47" x14ac:dyDescent="0.4">
      <c r="A26" s="1"/>
      <c r="B26" s="104" t="s">
        <v>84</v>
      </c>
      <c r="C26" s="104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</row>
    <row r="27" spans="1:47" x14ac:dyDescent="0.4">
      <c r="A27" s="1"/>
      <c r="B27" s="104" t="s">
        <v>90</v>
      </c>
      <c r="C27" s="104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</row>
    <row r="28" spans="1:47" x14ac:dyDescent="0.4">
      <c r="A28" s="1"/>
      <c r="B28" s="104" t="s">
        <v>59</v>
      </c>
      <c r="C28" s="104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</row>
    <row r="29" spans="1:47" x14ac:dyDescent="0.4">
      <c r="A29" s="1"/>
      <c r="B29" s="104" t="s">
        <v>85</v>
      </c>
      <c r="C29" s="104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</row>
    <row r="30" spans="1:47" x14ac:dyDescent="0.4">
      <c r="A30" s="1"/>
      <c r="B30" s="104" t="s">
        <v>86</v>
      </c>
      <c r="C30" s="104"/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</row>
    <row r="31" spans="1:47" x14ac:dyDescent="0.4">
      <c r="A31" s="1"/>
      <c r="B31" s="104" t="s">
        <v>56</v>
      </c>
      <c r="C31" s="104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x14ac:dyDescent="0.4">
      <c r="A32" s="1"/>
      <c r="B32" s="104" t="s">
        <v>60</v>
      </c>
      <c r="C32" s="104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x14ac:dyDescent="0.4">
      <c r="A33" s="1"/>
      <c r="B33" s="104" t="s">
        <v>61</v>
      </c>
      <c r="C33" s="104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x14ac:dyDescent="0.4">
      <c r="A34" s="1"/>
      <c r="B34" s="104" t="s">
        <v>91</v>
      </c>
      <c r="C34" s="104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ht="15" x14ac:dyDescent="0.4">
      <c r="A35" s="1"/>
      <c r="B35" s="94"/>
      <c r="C35" s="97" t="s">
        <v>57</v>
      </c>
      <c r="D35" s="228">
        <f t="shared" ref="D35:M35" si="1">SUM(D24:D34)</f>
        <v>0</v>
      </c>
      <c r="E35" s="228">
        <f t="shared" si="1"/>
        <v>0</v>
      </c>
      <c r="F35" s="228">
        <f t="shared" si="1"/>
        <v>0</v>
      </c>
      <c r="G35" s="228">
        <f t="shared" si="1"/>
        <v>0</v>
      </c>
      <c r="H35" s="228">
        <f t="shared" si="1"/>
        <v>0</v>
      </c>
      <c r="I35" s="228">
        <f t="shared" si="1"/>
        <v>0</v>
      </c>
      <c r="J35" s="228">
        <f t="shared" si="1"/>
        <v>0</v>
      </c>
      <c r="K35" s="228">
        <f t="shared" si="1"/>
        <v>0</v>
      </c>
      <c r="L35" s="228">
        <f t="shared" si="1"/>
        <v>0</v>
      </c>
      <c r="M35" s="228">
        <f t="shared" si="1"/>
        <v>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ht="15" x14ac:dyDescent="0.4">
      <c r="A36" s="1"/>
      <c r="B36" s="94"/>
      <c r="C36" s="97" t="s">
        <v>62</v>
      </c>
      <c r="D36" s="228">
        <f t="shared" ref="D36:M36" si="2">D21+D35</f>
        <v>0</v>
      </c>
      <c r="E36" s="228">
        <f t="shared" si="2"/>
        <v>0</v>
      </c>
      <c r="F36" s="228">
        <f t="shared" si="2"/>
        <v>0</v>
      </c>
      <c r="G36" s="228">
        <f t="shared" si="2"/>
        <v>0</v>
      </c>
      <c r="H36" s="228">
        <f t="shared" si="2"/>
        <v>0</v>
      </c>
      <c r="I36" s="228">
        <f>I21+I35</f>
        <v>0</v>
      </c>
      <c r="J36" s="228">
        <f t="shared" si="2"/>
        <v>0</v>
      </c>
      <c r="K36" s="228">
        <f t="shared" si="2"/>
        <v>0</v>
      </c>
      <c r="L36" s="228">
        <f t="shared" si="2"/>
        <v>0</v>
      </c>
      <c r="M36" s="228">
        <f t="shared" si="2"/>
        <v>0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ht="15" x14ac:dyDescent="0.4">
      <c r="A37" s="1"/>
      <c r="B37" s="94"/>
      <c r="C37" s="94"/>
      <c r="D37" s="147"/>
      <c r="E37" s="147"/>
      <c r="F37" s="147"/>
      <c r="G37" s="147"/>
      <c r="H37" s="147"/>
      <c r="I37" s="147"/>
      <c r="J37" s="147"/>
      <c r="K37" s="147"/>
      <c r="L37" s="147"/>
      <c r="M37" s="148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x14ac:dyDescent="0.4">
      <c r="A38" s="1"/>
      <c r="B38" s="574" t="s">
        <v>105</v>
      </c>
      <c r="C38" s="574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x14ac:dyDescent="0.4">
      <c r="A39" s="1"/>
      <c r="B39" s="104" t="s">
        <v>92</v>
      </c>
      <c r="C39" s="104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x14ac:dyDescent="0.4">
      <c r="A40" s="1"/>
      <c r="B40" s="104" t="s">
        <v>63</v>
      </c>
      <c r="C40" s="104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x14ac:dyDescent="0.4">
      <c r="A41" s="1"/>
      <c r="B41" s="104" t="s">
        <v>64</v>
      </c>
      <c r="C41" s="104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</row>
    <row r="42" spans="1:47" x14ac:dyDescent="0.4">
      <c r="A42" s="1"/>
      <c r="B42" s="104" t="s">
        <v>65</v>
      </c>
      <c r="C42" s="104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</row>
    <row r="43" spans="1:47" x14ac:dyDescent="0.4">
      <c r="A43" s="1"/>
      <c r="B43" s="104" t="s">
        <v>93</v>
      </c>
      <c r="C43" s="104"/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</row>
    <row r="44" spans="1:47" x14ac:dyDescent="0.4">
      <c r="A44" s="1"/>
      <c r="B44" s="104" t="s">
        <v>94</v>
      </c>
      <c r="C44" s="104"/>
      <c r="D44" s="229"/>
      <c r="E44" s="229"/>
      <c r="F44" s="229"/>
      <c r="G44" s="229"/>
      <c r="H44" s="229"/>
      <c r="I44" s="229"/>
      <c r="J44" s="229"/>
      <c r="K44" s="229"/>
      <c r="L44" s="229"/>
      <c r="M44" s="229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</row>
    <row r="45" spans="1:47" x14ac:dyDescent="0.4">
      <c r="A45" s="1"/>
      <c r="B45" s="104" t="s">
        <v>66</v>
      </c>
      <c r="C45" s="104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</row>
    <row r="46" spans="1:47" x14ac:dyDescent="0.4">
      <c r="A46" s="1"/>
      <c r="B46" s="104" t="s">
        <v>67</v>
      </c>
      <c r="C46" s="104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x14ac:dyDescent="0.4">
      <c r="A47" s="1"/>
      <c r="B47" s="104" t="s">
        <v>68</v>
      </c>
      <c r="C47" s="104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x14ac:dyDescent="0.4">
      <c r="A48" s="1"/>
      <c r="B48" s="104" t="s">
        <v>95</v>
      </c>
      <c r="C48" s="104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</row>
    <row r="49" spans="1:47" x14ac:dyDescent="0.4">
      <c r="A49" s="1"/>
      <c r="B49" s="104" t="s">
        <v>69</v>
      </c>
      <c r="C49" s="104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</row>
    <row r="50" spans="1:47" x14ac:dyDescent="0.4">
      <c r="A50" s="1"/>
      <c r="B50" s="570" t="s">
        <v>96</v>
      </c>
      <c r="C50" s="570"/>
      <c r="D50" s="228">
        <f>SUM(D39:D49)</f>
        <v>0</v>
      </c>
      <c r="E50" s="228">
        <f>SUM(E39:E49)</f>
        <v>0</v>
      </c>
      <c r="F50" s="228">
        <f t="shared" ref="F50:M50" si="3">SUM(F39:F49)</f>
        <v>0</v>
      </c>
      <c r="G50" s="228">
        <f t="shared" si="3"/>
        <v>0</v>
      </c>
      <c r="H50" s="228">
        <f t="shared" si="3"/>
        <v>0</v>
      </c>
      <c r="I50" s="228">
        <f t="shared" si="3"/>
        <v>0</v>
      </c>
      <c r="J50" s="228">
        <f t="shared" si="3"/>
        <v>0</v>
      </c>
      <c r="K50" s="228">
        <f t="shared" si="3"/>
        <v>0</v>
      </c>
      <c r="L50" s="228">
        <f t="shared" si="3"/>
        <v>0</v>
      </c>
      <c r="M50" s="228">
        <f t="shared" si="3"/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</row>
    <row r="51" spans="1:47" ht="15" x14ac:dyDescent="0.4">
      <c r="A51" s="1"/>
      <c r="B51" s="94"/>
      <c r="C51" s="94"/>
      <c r="D51" s="147"/>
      <c r="E51" s="147"/>
      <c r="F51" s="147"/>
      <c r="G51" s="147"/>
      <c r="H51" s="147"/>
      <c r="I51" s="147"/>
      <c r="J51" s="147"/>
      <c r="K51" s="147"/>
      <c r="L51" s="147"/>
      <c r="M51" s="14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</row>
    <row r="52" spans="1:47" x14ac:dyDescent="0.4">
      <c r="A52" s="1"/>
      <c r="B52" s="574" t="s">
        <v>106</v>
      </c>
      <c r="C52" s="574"/>
      <c r="D52" s="149"/>
      <c r="E52" s="149"/>
      <c r="F52" s="149"/>
      <c r="G52" s="149"/>
      <c r="H52" s="149"/>
      <c r="I52" s="149"/>
      <c r="J52" s="149"/>
      <c r="K52" s="149"/>
      <c r="L52" s="149"/>
      <c r="M52" s="15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</row>
    <row r="53" spans="1:47" x14ac:dyDescent="0.4">
      <c r="A53" s="1"/>
      <c r="B53" s="103" t="s">
        <v>97</v>
      </c>
      <c r="C53" s="103"/>
      <c r="D53" s="145"/>
      <c r="E53" s="145"/>
      <c r="F53" s="145"/>
      <c r="G53" s="145"/>
      <c r="H53" s="145"/>
      <c r="I53" s="145"/>
      <c r="J53" s="145"/>
      <c r="K53" s="145"/>
      <c r="L53" s="145"/>
      <c r="M53" s="146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</row>
    <row r="54" spans="1:47" x14ac:dyDescent="0.4">
      <c r="A54" s="1"/>
      <c r="B54" s="104" t="s">
        <v>70</v>
      </c>
      <c r="C54" s="104"/>
      <c r="D54" s="229"/>
      <c r="E54" s="229"/>
      <c r="F54" s="229"/>
      <c r="G54" s="229"/>
      <c r="H54" s="229"/>
      <c r="I54" s="229"/>
      <c r="J54" s="229"/>
      <c r="K54" s="229"/>
      <c r="L54" s="229"/>
      <c r="M54" s="229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</row>
    <row r="55" spans="1:47" x14ac:dyDescent="0.4">
      <c r="A55" s="1"/>
      <c r="B55" s="104" t="s">
        <v>85</v>
      </c>
      <c r="C55" s="104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</row>
    <row r="56" spans="1:47" x14ac:dyDescent="0.4">
      <c r="A56" s="1"/>
      <c r="B56" s="104" t="s">
        <v>71</v>
      </c>
      <c r="C56" s="104"/>
      <c r="D56" s="229"/>
      <c r="E56" s="229"/>
      <c r="F56" s="229"/>
      <c r="G56" s="229"/>
      <c r="H56" s="229"/>
      <c r="I56" s="229"/>
      <c r="J56" s="229"/>
      <c r="K56" s="229"/>
      <c r="L56" s="229"/>
      <c r="M56" s="229"/>
      <c r="N56" s="1"/>
      <c r="O56" s="277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</row>
    <row r="57" spans="1:47" x14ac:dyDescent="0.4">
      <c r="A57" s="1"/>
      <c r="B57" s="104" t="s">
        <v>98</v>
      </c>
      <c r="C57" s="104"/>
      <c r="D57" s="229"/>
      <c r="E57" s="229"/>
      <c r="F57" s="229"/>
      <c r="G57" s="229"/>
      <c r="H57" s="229"/>
      <c r="I57" s="229"/>
      <c r="J57" s="229"/>
      <c r="K57" s="229"/>
      <c r="L57" s="229"/>
      <c r="M57" s="229"/>
      <c r="N57" s="1"/>
      <c r="O57" s="64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</row>
    <row r="58" spans="1:47" x14ac:dyDescent="0.4">
      <c r="A58" s="1"/>
      <c r="B58" s="104" t="s">
        <v>73</v>
      </c>
      <c r="C58" s="104"/>
      <c r="D58" s="229"/>
      <c r="E58" s="229"/>
      <c r="F58" s="229"/>
      <c r="G58" s="229"/>
      <c r="H58" s="229"/>
      <c r="I58" s="229"/>
      <c r="J58" s="229"/>
      <c r="K58" s="229"/>
      <c r="L58" s="229"/>
      <c r="M58" s="229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</row>
    <row r="59" spans="1:47" x14ac:dyDescent="0.4">
      <c r="A59" s="1"/>
      <c r="B59" s="104" t="s">
        <v>72</v>
      </c>
      <c r="C59" s="104"/>
      <c r="D59" s="229"/>
      <c r="E59" s="229"/>
      <c r="F59" s="229"/>
      <c r="G59" s="229"/>
      <c r="H59" s="229"/>
      <c r="I59" s="229"/>
      <c r="J59" s="229"/>
      <c r="K59" s="229"/>
      <c r="L59" s="229"/>
      <c r="M59" s="229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</row>
    <row r="60" spans="1:47" x14ac:dyDescent="0.4">
      <c r="A60" s="1"/>
      <c r="B60" s="104" t="s">
        <v>59</v>
      </c>
      <c r="C60" s="104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</row>
    <row r="61" spans="1:47" x14ac:dyDescent="0.4">
      <c r="A61" s="1"/>
      <c r="B61" s="104" t="s">
        <v>99</v>
      </c>
      <c r="C61" s="104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</row>
    <row r="62" spans="1:47" x14ac:dyDescent="0.4">
      <c r="A62" s="1"/>
      <c r="B62" s="104" t="s">
        <v>56</v>
      </c>
      <c r="C62" s="104"/>
      <c r="D62" s="229"/>
      <c r="E62" s="229"/>
      <c r="F62" s="229"/>
      <c r="G62" s="229"/>
      <c r="H62" s="229"/>
      <c r="I62" s="229"/>
      <c r="J62" s="229"/>
      <c r="K62" s="229"/>
      <c r="L62" s="229"/>
      <c r="M62" s="229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</row>
    <row r="63" spans="1:47" x14ac:dyDescent="0.4">
      <c r="A63" s="1"/>
      <c r="B63" s="96"/>
      <c r="C63" s="97" t="s">
        <v>57</v>
      </c>
      <c r="D63" s="228">
        <f>SUM(D54:D62)</f>
        <v>0</v>
      </c>
      <c r="E63" s="228">
        <f t="shared" ref="E63:M63" si="4">SUM(E54:E62)</f>
        <v>0</v>
      </c>
      <c r="F63" s="228">
        <f t="shared" si="4"/>
        <v>0</v>
      </c>
      <c r="G63" s="228">
        <f t="shared" si="4"/>
        <v>0</v>
      </c>
      <c r="H63" s="228">
        <f t="shared" si="4"/>
        <v>0</v>
      </c>
      <c r="I63" s="228">
        <f t="shared" si="4"/>
        <v>0</v>
      </c>
      <c r="J63" s="228">
        <f t="shared" si="4"/>
        <v>0</v>
      </c>
      <c r="K63" s="228">
        <f t="shared" si="4"/>
        <v>0</v>
      </c>
      <c r="L63" s="228">
        <f t="shared" si="4"/>
        <v>0</v>
      </c>
      <c r="M63" s="228">
        <f t="shared" si="4"/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</row>
    <row r="64" spans="1:47" ht="15" x14ac:dyDescent="0.4">
      <c r="A64" s="1"/>
      <c r="B64" s="94"/>
      <c r="C64" s="95"/>
      <c r="D64" s="147"/>
      <c r="E64" s="147"/>
      <c r="F64" s="147"/>
      <c r="G64" s="147"/>
      <c r="H64" s="278"/>
      <c r="I64" s="147"/>
      <c r="J64" s="147"/>
      <c r="K64" s="147"/>
      <c r="L64" s="147"/>
      <c r="M64" s="14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</row>
    <row r="65" spans="1:47" x14ac:dyDescent="0.4">
      <c r="A65" s="1"/>
      <c r="B65" s="103" t="s">
        <v>100</v>
      </c>
      <c r="C65" s="103"/>
      <c r="D65" s="145"/>
      <c r="E65" s="145"/>
      <c r="F65" s="145"/>
      <c r="G65" s="145"/>
      <c r="H65" s="145"/>
      <c r="I65" s="145"/>
      <c r="J65" s="145"/>
      <c r="K65" s="145"/>
      <c r="L65" s="145"/>
      <c r="M65" s="146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</row>
    <row r="66" spans="1:47" x14ac:dyDescent="0.4">
      <c r="A66" s="1"/>
      <c r="B66" s="104" t="s">
        <v>70</v>
      </c>
      <c r="C66" s="104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</row>
    <row r="67" spans="1:47" x14ac:dyDescent="0.4">
      <c r="A67" s="1"/>
      <c r="B67" s="104" t="s">
        <v>73</v>
      </c>
      <c r="C67" s="104"/>
      <c r="D67" s="229"/>
      <c r="E67" s="229"/>
      <c r="F67" s="229"/>
      <c r="G67" s="229"/>
      <c r="H67" s="229"/>
      <c r="I67" s="229"/>
      <c r="J67" s="229"/>
      <c r="K67" s="229"/>
      <c r="L67" s="229"/>
      <c r="M67" s="22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</row>
    <row r="68" spans="1:47" x14ac:dyDescent="0.4">
      <c r="A68" s="1"/>
      <c r="B68" s="104" t="s">
        <v>72</v>
      </c>
      <c r="C68" s="104"/>
      <c r="D68" s="229"/>
      <c r="E68" s="229"/>
      <c r="F68" s="229"/>
      <c r="G68" s="229"/>
      <c r="H68" s="229"/>
      <c r="I68" s="229"/>
      <c r="J68" s="229"/>
      <c r="K68" s="229"/>
      <c r="L68" s="229"/>
      <c r="M68" s="22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</row>
    <row r="69" spans="1:47" x14ac:dyDescent="0.4">
      <c r="A69" s="1"/>
      <c r="B69" s="104" t="s">
        <v>101</v>
      </c>
      <c r="C69" s="104"/>
      <c r="D69" s="229"/>
      <c r="E69" s="229"/>
      <c r="F69" s="229"/>
      <c r="G69" s="229"/>
      <c r="H69" s="229"/>
      <c r="I69" s="229"/>
      <c r="J69" s="229"/>
      <c r="K69" s="229"/>
      <c r="L69" s="229"/>
      <c r="M69" s="229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</row>
    <row r="70" spans="1:47" x14ac:dyDescent="0.4">
      <c r="A70" s="1"/>
      <c r="B70" s="104" t="s">
        <v>59</v>
      </c>
      <c r="C70" s="104"/>
      <c r="D70" s="229"/>
      <c r="E70" s="229"/>
      <c r="F70" s="229"/>
      <c r="G70" s="229"/>
      <c r="H70" s="229"/>
      <c r="I70" s="229"/>
      <c r="J70" s="229"/>
      <c r="K70" s="229"/>
      <c r="L70" s="229"/>
      <c r="M70" s="229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</row>
    <row r="71" spans="1:47" x14ac:dyDescent="0.4">
      <c r="A71" s="1"/>
      <c r="B71" s="104" t="s">
        <v>85</v>
      </c>
      <c r="C71" s="104"/>
      <c r="D71" s="229"/>
      <c r="E71" s="229"/>
      <c r="F71" s="229"/>
      <c r="G71" s="229"/>
      <c r="H71" s="229"/>
      <c r="I71" s="229"/>
      <c r="J71" s="229"/>
      <c r="K71" s="229"/>
      <c r="L71" s="229"/>
      <c r="M71" s="229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</row>
    <row r="72" spans="1:47" x14ac:dyDescent="0.4">
      <c r="A72" s="1"/>
      <c r="B72" s="104" t="s">
        <v>71</v>
      </c>
      <c r="C72" s="104"/>
      <c r="D72" s="229"/>
      <c r="E72" s="229"/>
      <c r="F72" s="229"/>
      <c r="G72" s="229"/>
      <c r="H72" s="229"/>
      <c r="I72" s="229"/>
      <c r="J72" s="229"/>
      <c r="K72" s="229"/>
      <c r="L72" s="229"/>
      <c r="M72" s="229"/>
      <c r="N72" s="64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</row>
    <row r="73" spans="1:47" x14ac:dyDescent="0.4">
      <c r="A73" s="1"/>
      <c r="B73" s="104" t="s">
        <v>99</v>
      </c>
      <c r="C73" s="104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</row>
    <row r="74" spans="1:47" x14ac:dyDescent="0.4">
      <c r="A74" s="1"/>
      <c r="B74" s="104" t="s">
        <v>56</v>
      </c>
      <c r="C74" s="104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</row>
    <row r="75" spans="1:47" x14ac:dyDescent="0.4">
      <c r="A75" s="1"/>
      <c r="B75" s="104" t="s">
        <v>74</v>
      </c>
      <c r="C75" s="104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</row>
    <row r="76" spans="1:47" x14ac:dyDescent="0.4">
      <c r="A76" s="1"/>
      <c r="B76" s="104" t="s">
        <v>75</v>
      </c>
      <c r="C76" s="104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</row>
    <row r="77" spans="1:47" x14ac:dyDescent="0.4">
      <c r="A77" s="1"/>
      <c r="B77" s="96"/>
      <c r="C77" s="97" t="s">
        <v>57</v>
      </c>
      <c r="D77" s="228">
        <f>SUM(D66:D76)</f>
        <v>0</v>
      </c>
      <c r="E77" s="228">
        <f t="shared" ref="E77:L77" si="5">SUM(E66:E76)</f>
        <v>0</v>
      </c>
      <c r="F77" s="228">
        <f t="shared" si="5"/>
        <v>0</v>
      </c>
      <c r="G77" s="228">
        <f t="shared" si="5"/>
        <v>0</v>
      </c>
      <c r="H77" s="228">
        <f t="shared" si="5"/>
        <v>0</v>
      </c>
      <c r="I77" s="228">
        <f t="shared" si="5"/>
        <v>0</v>
      </c>
      <c r="J77" s="228">
        <f t="shared" si="5"/>
        <v>0</v>
      </c>
      <c r="K77" s="228">
        <f t="shared" si="5"/>
        <v>0</v>
      </c>
      <c r="L77" s="228">
        <f t="shared" si="5"/>
        <v>0</v>
      </c>
      <c r="M77" s="228">
        <f>SUM(M66:M76)</f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</row>
    <row r="78" spans="1:47" x14ac:dyDescent="0.4">
      <c r="A78" s="1"/>
      <c r="B78" s="570" t="s">
        <v>102</v>
      </c>
      <c r="C78" s="570"/>
      <c r="D78" s="228">
        <f>D77+D63</f>
        <v>0</v>
      </c>
      <c r="E78" s="228">
        <f t="shared" ref="E78:M78" si="6">E77+E63</f>
        <v>0</v>
      </c>
      <c r="F78" s="228">
        <f t="shared" si="6"/>
        <v>0</v>
      </c>
      <c r="G78" s="228">
        <f t="shared" si="6"/>
        <v>0</v>
      </c>
      <c r="H78" s="228">
        <f t="shared" si="6"/>
        <v>0</v>
      </c>
      <c r="I78" s="228">
        <f t="shared" si="6"/>
        <v>0</v>
      </c>
      <c r="J78" s="228">
        <f t="shared" si="6"/>
        <v>0</v>
      </c>
      <c r="K78" s="228">
        <f t="shared" si="6"/>
        <v>0</v>
      </c>
      <c r="L78" s="228">
        <f t="shared" si="6"/>
        <v>0</v>
      </c>
      <c r="M78" s="228">
        <f t="shared" si="6"/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</row>
    <row r="79" spans="1:47" x14ac:dyDescent="0.4">
      <c r="A79" s="1"/>
      <c r="B79" s="570" t="s">
        <v>103</v>
      </c>
      <c r="C79" s="570"/>
      <c r="D79" s="228">
        <f>D78+D50</f>
        <v>0</v>
      </c>
      <c r="E79" s="228">
        <f t="shared" ref="E79:M79" si="7">E78+E50</f>
        <v>0</v>
      </c>
      <c r="F79" s="228">
        <f t="shared" si="7"/>
        <v>0</v>
      </c>
      <c r="G79" s="228">
        <f t="shared" si="7"/>
        <v>0</v>
      </c>
      <c r="H79" s="228">
        <f t="shared" si="7"/>
        <v>0</v>
      </c>
      <c r="I79" s="228">
        <f t="shared" si="7"/>
        <v>0</v>
      </c>
      <c r="J79" s="228">
        <f t="shared" si="7"/>
        <v>0</v>
      </c>
      <c r="K79" s="228">
        <f t="shared" si="7"/>
        <v>0</v>
      </c>
      <c r="L79" s="228">
        <f t="shared" si="7"/>
        <v>0</v>
      </c>
      <c r="M79" s="228">
        <f t="shared" si="7"/>
        <v>0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</row>
    <row r="80" spans="1:47" x14ac:dyDescent="0.4">
      <c r="A80" s="1"/>
      <c r="B80" s="98"/>
      <c r="C80" s="98"/>
      <c r="D80" s="209"/>
      <c r="E80" s="209"/>
      <c r="F80" s="209"/>
      <c r="G80" s="209"/>
      <c r="H80" s="209"/>
      <c r="I80" s="209"/>
      <c r="J80" s="209"/>
      <c r="K80" s="209"/>
      <c r="L80" s="209"/>
      <c r="M80" s="21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</row>
    <row r="81" spans="1:47" x14ac:dyDescent="0.4">
      <c r="A81" s="68"/>
      <c r="B81" s="105" t="s">
        <v>76</v>
      </c>
      <c r="C81" s="106"/>
      <c r="D81" s="227">
        <f>D79-D36</f>
        <v>0</v>
      </c>
      <c r="E81" s="227">
        <f t="shared" ref="E81:M81" si="8">E79-E36</f>
        <v>0</v>
      </c>
      <c r="F81" s="227">
        <f t="shared" si="8"/>
        <v>0</v>
      </c>
      <c r="G81" s="227">
        <f t="shared" si="8"/>
        <v>0</v>
      </c>
      <c r="H81" s="227">
        <f t="shared" si="8"/>
        <v>0</v>
      </c>
      <c r="I81" s="227">
        <f t="shared" si="8"/>
        <v>0</v>
      </c>
      <c r="J81" s="227">
        <f t="shared" si="8"/>
        <v>0</v>
      </c>
      <c r="K81" s="227">
        <f t="shared" si="8"/>
        <v>0</v>
      </c>
      <c r="L81" s="227">
        <f t="shared" si="8"/>
        <v>0</v>
      </c>
      <c r="M81" s="227">
        <f t="shared" si="8"/>
        <v>0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</row>
    <row r="82" spans="1:47" ht="15" x14ac:dyDescent="0.4">
      <c r="A82" s="1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5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</row>
    <row r="83" spans="1:47" ht="15" x14ac:dyDescent="0.4">
      <c r="A83" s="1"/>
      <c r="B83" s="224" t="s">
        <v>378</v>
      </c>
      <c r="C83" s="76"/>
      <c r="D83" s="225" t="str">
        <f t="shared" ref="D83:M83" si="9">IF(PATRIMÓNIO_LÍQUIDO_2024&lt;(PATRIMÓNIO_2024/2),"aplicável","não aplicável")</f>
        <v>não aplicável</v>
      </c>
      <c r="E83" s="225" t="str">
        <f t="shared" si="9"/>
        <v>não aplicável</v>
      </c>
      <c r="F83" s="225" t="str">
        <f t="shared" si="9"/>
        <v>não aplicável</v>
      </c>
      <c r="G83" s="225" t="str">
        <f t="shared" si="9"/>
        <v>não aplicável</v>
      </c>
      <c r="H83" s="225" t="str">
        <f t="shared" si="9"/>
        <v>não aplicável</v>
      </c>
      <c r="I83" s="225" t="str">
        <f t="shared" si="9"/>
        <v>não aplicável</v>
      </c>
      <c r="J83" s="225" t="str">
        <f t="shared" si="9"/>
        <v>não aplicável</v>
      </c>
      <c r="K83" s="225" t="str">
        <f t="shared" si="9"/>
        <v>não aplicável</v>
      </c>
      <c r="L83" s="225" t="str">
        <f t="shared" si="9"/>
        <v>não aplicável</v>
      </c>
      <c r="M83" s="225" t="str">
        <f t="shared" si="9"/>
        <v>não aplicável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</row>
    <row r="84" spans="1:47" ht="15" x14ac:dyDescent="0.4">
      <c r="A84" s="1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</row>
    <row r="85" spans="1:47" ht="15" x14ac:dyDescent="0.4">
      <c r="A85" s="1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</row>
    <row r="86" spans="1:47" ht="15" hidden="1" x14ac:dyDescent="0.4">
      <c r="A86" s="1"/>
      <c r="B86" s="76"/>
      <c r="C86" s="76"/>
      <c r="D86" s="332"/>
      <c r="E86" s="76"/>
      <c r="F86" s="76"/>
      <c r="G86" s="76"/>
      <c r="H86" s="76"/>
      <c r="I86" s="76"/>
      <c r="J86" s="76"/>
      <c r="K86" s="76"/>
      <c r="L86" s="7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</row>
    <row r="87" spans="1:47" ht="15" hidden="1" x14ac:dyDescent="0.4">
      <c r="A87" s="1"/>
      <c r="B87" s="76"/>
      <c r="C87" s="76"/>
      <c r="D87" s="332"/>
      <c r="E87" s="76"/>
      <c r="F87" s="76"/>
      <c r="G87" s="76"/>
      <c r="H87" s="76"/>
      <c r="I87" s="76"/>
      <c r="J87" s="76"/>
      <c r="K87" s="76"/>
      <c r="L87" s="7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</row>
    <row r="88" spans="1:47" ht="15" hidden="1" x14ac:dyDescent="0.4">
      <c r="A88" s="1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</row>
    <row r="89" spans="1:47" ht="15" hidden="1" x14ac:dyDescent="0.4">
      <c r="A89" s="1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</row>
    <row r="90" spans="1:47" ht="15" hidden="1" x14ac:dyDescent="0.4">
      <c r="A90" s="1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</row>
    <row r="91" spans="1:47" ht="15" hidden="1" x14ac:dyDescent="0.4">
      <c r="A91" s="1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</row>
    <row r="92" spans="1:47" ht="15" hidden="1" x14ac:dyDescent="0.4">
      <c r="A92" s="1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</row>
    <row r="93" spans="1:47" ht="15" hidden="1" x14ac:dyDescent="0.4">
      <c r="A93" s="1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</row>
    <row r="94" spans="1:47" ht="15" hidden="1" x14ac:dyDescent="0.4">
      <c r="A94" s="1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47" ht="15" hidden="1" x14ac:dyDescent="0.4">
      <c r="A95" s="1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47" ht="15" hidden="1" x14ac:dyDescent="0.4">
      <c r="A96" s="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1:47" ht="15" hidden="1" x14ac:dyDescent="0.4">
      <c r="A97" s="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1:47" ht="15" hidden="1" x14ac:dyDescent="0.4">
      <c r="A98" s="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1:47" ht="15" hidden="1" x14ac:dyDescent="0.4">
      <c r="A99" s="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1:47" ht="15" hidden="1" x14ac:dyDescent="0.4">
      <c r="A100" s="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1:47" ht="15" hidden="1" x14ac:dyDescent="0.4">
      <c r="A101" s="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1:47" ht="15" hidden="1" x14ac:dyDescent="0.4">
      <c r="A102" s="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</row>
    <row r="103" spans="1:47" ht="15" hidden="1" x14ac:dyDescent="0.4">
      <c r="A103" s="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</row>
    <row r="104" spans="1:47" ht="15" hidden="1" x14ac:dyDescent="0.4">
      <c r="A104" s="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</row>
    <row r="105" spans="1:47" ht="15" hidden="1" x14ac:dyDescent="0.4">
      <c r="A105" s="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</row>
    <row r="106" spans="1:47" ht="15" hidden="1" x14ac:dyDescent="0.4">
      <c r="A106" s="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</row>
    <row r="107" spans="1:47" ht="15" hidden="1" x14ac:dyDescent="0.4">
      <c r="A107" s="1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</row>
    <row r="108" spans="1:47" ht="15" hidden="1" x14ac:dyDescent="0.4">
      <c r="A108" s="1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</row>
    <row r="109" spans="1:47" ht="15" hidden="1" x14ac:dyDescent="0.4">
      <c r="A109" s="1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</row>
    <row r="110" spans="1:47" ht="15" hidden="1" x14ac:dyDescent="0.4">
      <c r="A110" s="1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</row>
    <row r="111" spans="1:47" ht="15" hidden="1" x14ac:dyDescent="0.4">
      <c r="A111" s="1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</row>
    <row r="112" spans="1:47" ht="15" hidden="1" x14ac:dyDescent="0.4">
      <c r="A112" s="1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</row>
    <row r="113" spans="1:47" ht="15" hidden="1" x14ac:dyDescent="0.4">
      <c r="A113" s="1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ht="15" hidden="1" x14ac:dyDescent="0.4">
      <c r="A114" s="1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ht="15" hidden="1" x14ac:dyDescent="0.4">
      <c r="A115" s="1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ht="15" hidden="1" x14ac:dyDescent="0.4">
      <c r="A116" s="1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ht="15" hidden="1" x14ac:dyDescent="0.4">
      <c r="A117" s="1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ht="15" hidden="1" x14ac:dyDescent="0.4">
      <c r="A118" s="1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ht="15" hidden="1" x14ac:dyDescent="0.4">
      <c r="A119" s="1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</row>
    <row r="120" spans="1:47" ht="15" hidden="1" x14ac:dyDescent="0.4">
      <c r="A120" s="1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</row>
    <row r="121" spans="1:47" ht="15" hidden="1" x14ac:dyDescent="0.4">
      <c r="A121" s="1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</row>
    <row r="122" spans="1:47" ht="15" hidden="1" x14ac:dyDescent="0.4">
      <c r="A122" s="1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</row>
    <row r="123" spans="1:47" ht="15" hidden="1" x14ac:dyDescent="0.4">
      <c r="A123" s="1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</row>
    <row r="124" spans="1:47" ht="15" hidden="1" x14ac:dyDescent="0.4">
      <c r="A124" s="1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</row>
    <row r="125" spans="1:47" ht="15" hidden="1" x14ac:dyDescent="0.4">
      <c r="A125" s="1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</row>
    <row r="126" spans="1:47" ht="15" hidden="1" x14ac:dyDescent="0.4">
      <c r="A126" s="1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</row>
    <row r="127" spans="1:47" ht="15" hidden="1" x14ac:dyDescent="0.4">
      <c r="A127" s="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</row>
    <row r="128" spans="1:47" ht="15" hidden="1" x14ac:dyDescent="0.4">
      <c r="A128" s="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</row>
    <row r="129" spans="1:47" ht="15" hidden="1" x14ac:dyDescent="0.4">
      <c r="A129" s="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</row>
    <row r="130" spans="1:47" ht="15" hidden="1" x14ac:dyDescent="0.4">
      <c r="A130" s="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</row>
    <row r="131" spans="1:47" ht="15" hidden="1" x14ac:dyDescent="0.4">
      <c r="A131" s="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</row>
    <row r="132" spans="1:47" ht="15" hidden="1" x14ac:dyDescent="0.4">
      <c r="A132" s="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</row>
    <row r="133" spans="1:47" ht="15" hidden="1" x14ac:dyDescent="0.4">
      <c r="A133" s="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</row>
    <row r="134" spans="1:47" ht="15" hidden="1" x14ac:dyDescent="0.4">
      <c r="A134" s="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</row>
    <row r="135" spans="1:47" ht="15" hidden="1" x14ac:dyDescent="0.4">
      <c r="A135" s="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</row>
    <row r="136" spans="1:47" ht="15" hidden="1" x14ac:dyDescent="0.4">
      <c r="A136" s="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</row>
    <row r="137" spans="1:47" ht="15" hidden="1" x14ac:dyDescent="0.4">
      <c r="A137" s="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</row>
    <row r="138" spans="1:47" ht="15" hidden="1" x14ac:dyDescent="0.4">
      <c r="A138" s="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</row>
    <row r="139" spans="1:47" ht="15" hidden="1" x14ac:dyDescent="0.4">
      <c r="A139" s="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</row>
    <row r="140" spans="1:47" ht="15" hidden="1" x14ac:dyDescent="0.4">
      <c r="A140" s="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</row>
    <row r="141" spans="1:47" ht="15" hidden="1" x14ac:dyDescent="0.4">
      <c r="A141" s="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</row>
    <row r="142" spans="1:47" ht="15" hidden="1" x14ac:dyDescent="0.4">
      <c r="A142" s="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</row>
    <row r="143" spans="1:47" ht="15" hidden="1" x14ac:dyDescent="0.4">
      <c r="A143" s="1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</row>
    <row r="144" spans="1:47" ht="15" hidden="1" x14ac:dyDescent="0.4">
      <c r="A144" s="1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1:47" ht="15" hidden="1" x14ac:dyDescent="0.4">
      <c r="A145" s="1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</row>
    <row r="146" spans="1:47" ht="15" hidden="1" x14ac:dyDescent="0.4">
      <c r="A146" s="1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</row>
    <row r="147" spans="1:47" ht="15" hidden="1" x14ac:dyDescent="0.4">
      <c r="A147" s="1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</row>
    <row r="148" spans="1:47" ht="15" hidden="1" x14ac:dyDescent="0.4">
      <c r="A148" s="1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</row>
    <row r="149" spans="1:47" ht="15" hidden="1" x14ac:dyDescent="0.4">
      <c r="A149" s="1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</row>
    <row r="150" spans="1:47" ht="15" hidden="1" x14ac:dyDescent="0.4">
      <c r="A150" s="1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</row>
    <row r="151" spans="1:47" ht="15" hidden="1" x14ac:dyDescent="0.4">
      <c r="A151" s="1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</row>
    <row r="152" spans="1:47" ht="15" hidden="1" x14ac:dyDescent="0.4">
      <c r="A152" s="1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</row>
    <row r="153" spans="1:47" ht="15" hidden="1" x14ac:dyDescent="0.4">
      <c r="A153" s="1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</row>
    <row r="154" spans="1:47" ht="15" hidden="1" x14ac:dyDescent="0.4">
      <c r="A154" s="1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</row>
    <row r="155" spans="1:47" ht="15" hidden="1" x14ac:dyDescent="0.4">
      <c r="A155" s="1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</row>
    <row r="156" spans="1:47" ht="15" hidden="1" x14ac:dyDescent="0.4">
      <c r="A156" s="1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</row>
    <row r="157" spans="1:47" ht="15" hidden="1" x14ac:dyDescent="0.4">
      <c r="A157" s="1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</row>
    <row r="158" spans="1:47" ht="15" hidden="1" x14ac:dyDescent="0.4">
      <c r="A158" s="1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</row>
    <row r="159" spans="1:47" ht="15" hidden="1" x14ac:dyDescent="0.4">
      <c r="A159" s="1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</row>
    <row r="160" spans="1:47" ht="15" hidden="1" x14ac:dyDescent="0.4">
      <c r="A160" s="1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</row>
    <row r="161" spans="1:47" ht="15" hidden="1" x14ac:dyDescent="0.4">
      <c r="A161" s="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</row>
    <row r="162" spans="1:47" ht="15" hidden="1" x14ac:dyDescent="0.4">
      <c r="A162" s="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</row>
    <row r="163" spans="1:47" ht="15" hidden="1" x14ac:dyDescent="0.4">
      <c r="A163" s="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</row>
    <row r="164" spans="1:47" ht="15" hidden="1" x14ac:dyDescent="0.4">
      <c r="A164" s="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</row>
    <row r="165" spans="1:47" ht="15" hidden="1" x14ac:dyDescent="0.4">
      <c r="A165" s="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</row>
    <row r="166" spans="1:47" ht="15" hidden="1" x14ac:dyDescent="0.4">
      <c r="A166" s="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</row>
    <row r="167" spans="1:47" ht="15" hidden="1" x14ac:dyDescent="0.4">
      <c r="A167" s="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</row>
    <row r="168" spans="1:47" ht="15" hidden="1" x14ac:dyDescent="0.4">
      <c r="A168" s="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</row>
    <row r="169" spans="1:47" ht="15" hidden="1" x14ac:dyDescent="0.4">
      <c r="A169" s="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</row>
    <row r="170" spans="1:47" ht="15" hidden="1" x14ac:dyDescent="0.4">
      <c r="A170" s="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</row>
    <row r="171" spans="1:47" ht="15" hidden="1" x14ac:dyDescent="0.4">
      <c r="A171" s="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</row>
    <row r="172" spans="1:47" ht="15" hidden="1" x14ac:dyDescent="0.4">
      <c r="A172" s="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</row>
    <row r="173" spans="1:47" ht="15" hidden="1" x14ac:dyDescent="0.4">
      <c r="A173" s="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</row>
    <row r="174" spans="1:47" ht="15" hidden="1" x14ac:dyDescent="0.4">
      <c r="A174" s="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</row>
    <row r="175" spans="1:47" ht="15" hidden="1" x14ac:dyDescent="0.4">
      <c r="A175" s="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</row>
    <row r="176" spans="1:47" ht="15" hidden="1" x14ac:dyDescent="0.4">
      <c r="A176" s="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</row>
    <row r="177" spans="1:47" ht="15" hidden="1" x14ac:dyDescent="0.4">
      <c r="A177" s="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</row>
    <row r="178" spans="1:47" ht="15" hidden="1" x14ac:dyDescent="0.4">
      <c r="A178" s="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</row>
    <row r="179" spans="1:47" ht="15" hidden="1" x14ac:dyDescent="0.4">
      <c r="A179" s="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</row>
    <row r="180" spans="1:47" ht="15" hidden="1" x14ac:dyDescent="0.4">
      <c r="A180" s="1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</row>
    <row r="181" spans="1:47" ht="15" hidden="1" x14ac:dyDescent="0.4">
      <c r="A181" s="1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</row>
    <row r="182" spans="1:47" ht="15" hidden="1" x14ac:dyDescent="0.4">
      <c r="A182" s="1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</row>
    <row r="183" spans="1:47" ht="15" hidden="1" x14ac:dyDescent="0.4">
      <c r="A183" s="1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</row>
    <row r="184" spans="1:47" ht="15" hidden="1" x14ac:dyDescent="0.4">
      <c r="A184" s="1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</row>
    <row r="185" spans="1:47" ht="15" hidden="1" x14ac:dyDescent="0.4">
      <c r="A185" s="1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</row>
    <row r="186" spans="1:47" ht="15" hidden="1" x14ac:dyDescent="0.4">
      <c r="A186" s="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</row>
    <row r="187" spans="1:47" ht="15" hidden="1" x14ac:dyDescent="0.4">
      <c r="A187" s="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</row>
    <row r="188" spans="1:47" ht="15" hidden="1" x14ac:dyDescent="0.4">
      <c r="A188" s="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</row>
    <row r="189" spans="1:47" ht="15" hidden="1" x14ac:dyDescent="0.4">
      <c r="A189" s="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</row>
    <row r="190" spans="1:47" ht="15" hidden="1" x14ac:dyDescent="0.4">
      <c r="A190" s="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</row>
    <row r="191" spans="1:47" ht="15" hidden="1" x14ac:dyDescent="0.4">
      <c r="A191" s="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</row>
    <row r="192" spans="1:47" ht="15" hidden="1" x14ac:dyDescent="0.4">
      <c r="A192" s="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</row>
    <row r="193" spans="1:47" ht="15" hidden="1" x14ac:dyDescent="0.4">
      <c r="A193" s="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</row>
    <row r="194" spans="1:47" ht="15" hidden="1" x14ac:dyDescent="0.4">
      <c r="A194" s="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</row>
    <row r="195" spans="1:47" ht="15" hidden="1" x14ac:dyDescent="0.4">
      <c r="A195" s="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</row>
    <row r="196" spans="1:47" ht="15" hidden="1" x14ac:dyDescent="0.4">
      <c r="A196" s="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</row>
    <row r="197" spans="1:47" ht="15" hidden="1" x14ac:dyDescent="0.4">
      <c r="A197" s="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</row>
    <row r="198" spans="1:47" ht="15" hidden="1" x14ac:dyDescent="0.4">
      <c r="A198" s="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</row>
    <row r="199" spans="1:47" ht="15" hidden="1" x14ac:dyDescent="0.4">
      <c r="A199" s="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</row>
    <row r="200" spans="1:47" hidden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</row>
    <row r="201" spans="1:47" hidden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</row>
    <row r="202" spans="1:47" hidden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</row>
    <row r="203" spans="1:47" hidden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</row>
    <row r="204" spans="1:47" hidden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</row>
    <row r="205" spans="1:47" hidden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</row>
    <row r="206" spans="1:47" hidden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</row>
    <row r="207" spans="1:47" hidden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</row>
    <row r="208" spans="1:47" hidden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</row>
    <row r="209" spans="1:47" hidden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</row>
    <row r="210" spans="1:47" hidden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</row>
    <row r="211" spans="1:47" hidden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</row>
    <row r="212" spans="1:47" hidden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</row>
    <row r="213" spans="1:47" hidden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</row>
    <row r="214" spans="1:47" hidden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</row>
    <row r="215" spans="1:47" hidden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</row>
    <row r="216" spans="1:47" hidden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</row>
    <row r="217" spans="1:47" hidden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</row>
    <row r="218" spans="1:47" hidden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</row>
    <row r="219" spans="1:47" hidden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</row>
    <row r="220" spans="1:47" hidden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</row>
    <row r="221" spans="1:47" hidden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</row>
    <row r="222" spans="1:47" hidden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</row>
    <row r="223" spans="1:47" hidden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</row>
    <row r="224" spans="1:47" hidden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</row>
    <row r="225" spans="1:47" hidden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</row>
    <row r="226" spans="1:47" hidden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</row>
    <row r="227" spans="1:47" hidden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</row>
    <row r="228" spans="1:47" hidden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</row>
    <row r="229" spans="1:47" hidden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</row>
    <row r="230" spans="1:47" hidden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</row>
    <row r="231" spans="1:47" hidden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</row>
    <row r="232" spans="1:47" hidden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</row>
    <row r="233" spans="1:47" hidden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</row>
    <row r="234" spans="1:47" hidden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</row>
    <row r="235" spans="1:47" hidden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</row>
    <row r="236" spans="1:47" hidden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</row>
    <row r="237" spans="1:47" hidden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</row>
    <row r="238" spans="1:47" hidden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</row>
    <row r="239" spans="1:47" hidden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</row>
    <row r="240" spans="1:47" hidden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</row>
    <row r="241" spans="1:47" hidden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</row>
    <row r="242" spans="1:47" hidden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</row>
    <row r="243" spans="1:47" hidden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</row>
    <row r="244" spans="1:47" hidden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</row>
    <row r="245" spans="1:47" hidden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</row>
    <row r="246" spans="1:47" hidden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</row>
    <row r="247" spans="1:47" hidden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</row>
    <row r="248" spans="1:47" hidden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</row>
    <row r="249" spans="1:47" hidden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</row>
    <row r="250" spans="1:47" hidden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</row>
    <row r="251" spans="1:47" hidden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</row>
    <row r="252" spans="1:47" hidden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</row>
    <row r="253" spans="1:47" hidden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</row>
    <row r="254" spans="1:47" hidden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</row>
    <row r="255" spans="1:47" hidden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</row>
    <row r="256" spans="1:47" hidden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</row>
    <row r="257" spans="1:47" hidden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</row>
    <row r="258" spans="1:47" hidden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</row>
    <row r="259" spans="1:47" hidden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</row>
    <row r="260" spans="1:47" hidden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</row>
    <row r="261" spans="1:47" hidden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</row>
    <row r="262" spans="1:47" hidden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</row>
    <row r="263" spans="1:47" hidden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</row>
    <row r="264" spans="1:47" hidden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</row>
    <row r="265" spans="1:47" hidden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</row>
    <row r="266" spans="1:47" hidden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</row>
    <row r="267" spans="1:47" hidden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</row>
    <row r="268" spans="1:47" hidden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</row>
    <row r="269" spans="1:47" hidden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</row>
    <row r="270" spans="1:47" hidden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</row>
    <row r="271" spans="1:47" hidden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</row>
    <row r="272" spans="1:47" hidden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</row>
    <row r="273" spans="1:47" hidden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</row>
    <row r="274" spans="1:47" hidden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</row>
    <row r="275" spans="1:47" hidden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</row>
    <row r="276" spans="1:47" hidden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</row>
    <row r="277" spans="1:47" hidden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</row>
    <row r="278" spans="1:47" hidden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</row>
    <row r="279" spans="1:47" hidden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</row>
    <row r="280" spans="1:47" hidden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</row>
    <row r="281" spans="1:47" hidden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</row>
    <row r="282" spans="1:47" hidden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</row>
    <row r="283" spans="1:47" hidden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</row>
    <row r="284" spans="1:47" hidden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</row>
    <row r="285" spans="1:47" hidden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</row>
    <row r="286" spans="1:47" hidden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</row>
    <row r="287" spans="1:47" hidden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</row>
    <row r="288" spans="1:47" hidden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</row>
    <row r="289" spans="1:47" hidden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</row>
    <row r="290" spans="1:47" hidden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</row>
    <row r="291" spans="1:47" hidden="1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</row>
    <row r="292" spans="1:47" hidden="1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</row>
    <row r="293" spans="1:47" hidden="1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</row>
    <row r="294" spans="1:47" hidden="1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</row>
    <row r="295" spans="1:47" hidden="1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</row>
    <row r="296" spans="1:47" hidden="1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</row>
    <row r="297" spans="1:47" hidden="1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</row>
    <row r="298" spans="1:47" hidden="1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</row>
    <row r="299" spans="1:47" hidden="1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</row>
    <row r="300" spans="1:47" hidden="1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</row>
    <row r="301" spans="1:47" hidden="1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</row>
    <row r="302" spans="1:47" hidden="1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</row>
    <row r="303" spans="1:47" hidden="1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</row>
    <row r="304" spans="1:47" hidden="1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</row>
    <row r="305" spans="1:47" hidden="1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</row>
    <row r="306" spans="1:47" hidden="1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</row>
    <row r="307" spans="1:47" hidden="1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</row>
    <row r="308" spans="1:47" hidden="1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</row>
    <row r="309" spans="1:47" hidden="1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</row>
    <row r="310" spans="1:47" hidden="1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</row>
    <row r="311" spans="1:47" hidden="1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</row>
    <row r="312" spans="1:47" hidden="1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</row>
    <row r="313" spans="1:47" hidden="1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</row>
  </sheetData>
  <sheetProtection selectLockedCells="1"/>
  <mergeCells count="8">
    <mergeCell ref="B79:C79"/>
    <mergeCell ref="B78:C78"/>
    <mergeCell ref="B5:B6"/>
    <mergeCell ref="C5:C6"/>
    <mergeCell ref="B7:C7"/>
    <mergeCell ref="B52:C52"/>
    <mergeCell ref="B38:C38"/>
    <mergeCell ref="B50:C50"/>
  </mergeCells>
  <conditionalFormatting sqref="D83:M83">
    <cfRule type="cellIs" dxfId="5" priority="1" operator="equal">
      <formula>"aplicável"</formula>
    </cfRule>
    <cfRule type="cellIs" dxfId="4" priority="2" operator="equal">
      <formula>"não aplicável"</formula>
    </cfRule>
    <cfRule type="cellIs" dxfId="3" priority="3" operator="equal">
      <formula>"não aplicável"</formula>
    </cfRule>
    <cfRule type="cellIs" dxfId="2" priority="4" operator="equal">
      <formula>"não aplicável"</formula>
    </cfRule>
  </conditionalFormatting>
  <dataValidations count="2">
    <dataValidation allowBlank="1" showInputMessage="1" showErrorMessage="1" errorTitle="Erro" error="Não introduzir dados nesta célula" sqref="B81" xr:uid="{4BF08A8C-11DB-47A3-8C13-61625CC738EF}"/>
    <dataValidation type="decimal" operator="greaterThanOrEqual" allowBlank="1" showInputMessage="1" showErrorMessage="1" error="Introduzir n.º igual ou superior a zero" sqref="D24:M34 D54:M62 D9:M20 D66:M76" xr:uid="{EF6EF25B-7A51-4DE6-9E4C-47A78DF1B6B0}">
      <formula1>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2B13-9F1B-490E-AD41-729E4958728B}">
  <sheetPr codeName="Folha5">
    <tabColor rgb="FFF2A068"/>
  </sheetPr>
  <dimension ref="A1:AS290"/>
  <sheetViews>
    <sheetView zoomScale="80" zoomScaleNormal="80" workbookViewId="0">
      <pane ySplit="6" topLeftCell="A15" activePane="bottomLeft" state="frozen"/>
      <selection pane="bottomLeft" activeCell="G13" sqref="G13:M15"/>
    </sheetView>
  </sheetViews>
  <sheetFormatPr defaultColWidth="0" defaultRowHeight="14.6" zeroHeight="1" x14ac:dyDescent="0.4"/>
  <cols>
    <col min="1" max="1" width="9.15234375" customWidth="1"/>
    <col min="2" max="2" width="88.15234375" customWidth="1"/>
    <col min="3" max="3" width="9.15234375" customWidth="1"/>
    <col min="4" max="4" width="18.3828125" bestFit="1" customWidth="1"/>
    <col min="5" max="7" width="16.15234375" bestFit="1" customWidth="1"/>
    <col min="8" max="10" width="14.84375" bestFit="1" customWidth="1"/>
    <col min="11" max="13" width="16.15234375" bestFit="1" customWidth="1"/>
    <col min="14" max="14" width="9.15234375" customWidth="1"/>
    <col min="15" max="16" width="9.15234375" hidden="1" customWidth="1"/>
    <col min="17" max="42" width="0" hidden="1" customWidth="1"/>
    <col min="43" max="44" width="0" style="1" hidden="1" customWidth="1"/>
    <col min="45" max="45" width="0" hidden="1" customWidth="1"/>
    <col min="46" max="16384" width="9.15234375" hidden="1"/>
  </cols>
  <sheetData>
    <row r="1" spans="1:4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4">
      <c r="A2" s="1"/>
      <c r="B2" s="1"/>
      <c r="C2" s="61"/>
      <c r="D2" s="1"/>
      <c r="E2" s="64"/>
      <c r="F2" s="64"/>
      <c r="G2" s="64"/>
      <c r="H2" s="64"/>
      <c r="I2" s="64"/>
      <c r="J2" s="64"/>
      <c r="K2" s="64"/>
      <c r="L2" s="64"/>
      <c r="M2" s="6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" x14ac:dyDescent="0.4">
      <c r="A3" s="1"/>
      <c r="B3" s="99" t="s">
        <v>107</v>
      </c>
      <c r="C3" s="107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7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5" x14ac:dyDescent="0.4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493" t="s">
        <v>129</v>
      </c>
      <c r="M4" s="202" t="s">
        <v>350</v>
      </c>
      <c r="N4" s="7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5" x14ac:dyDescent="0.4">
      <c r="A5" s="1"/>
      <c r="B5" s="575" t="s">
        <v>108</v>
      </c>
      <c r="C5" s="576" t="s">
        <v>52</v>
      </c>
      <c r="D5" s="110">
        <v>2024</v>
      </c>
      <c r="E5" s="110">
        <v>2025</v>
      </c>
      <c r="F5" s="110">
        <v>2026</v>
      </c>
      <c r="G5" s="110">
        <v>2026</v>
      </c>
      <c r="H5" s="110" t="s">
        <v>462</v>
      </c>
      <c r="I5" s="110" t="s">
        <v>463</v>
      </c>
      <c r="J5" s="110" t="s">
        <v>464</v>
      </c>
      <c r="K5" s="110" t="s">
        <v>465</v>
      </c>
      <c r="L5" s="110">
        <v>2028</v>
      </c>
      <c r="M5" s="110">
        <v>2029</v>
      </c>
      <c r="N5" s="7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5" x14ac:dyDescent="0.4">
      <c r="A6" s="1"/>
      <c r="B6" s="575"/>
      <c r="C6" s="577"/>
      <c r="D6" s="111" t="s">
        <v>77</v>
      </c>
      <c r="E6" s="111" t="s">
        <v>77</v>
      </c>
      <c r="F6" s="111" t="s">
        <v>78</v>
      </c>
      <c r="G6" s="111" t="s">
        <v>368</v>
      </c>
      <c r="H6" s="111" t="s">
        <v>79</v>
      </c>
      <c r="I6" s="111" t="s">
        <v>79</v>
      </c>
      <c r="J6" s="111" t="s">
        <v>79</v>
      </c>
      <c r="K6" s="111" t="s">
        <v>79</v>
      </c>
      <c r="L6" s="111" t="s">
        <v>79</v>
      </c>
      <c r="M6" s="111" t="s">
        <v>79</v>
      </c>
      <c r="N6" s="7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15" x14ac:dyDescent="0.4">
      <c r="A7" s="1"/>
      <c r="B7" s="112" t="s">
        <v>157</v>
      </c>
      <c r="C7" s="112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76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5" x14ac:dyDescent="0.4">
      <c r="A8" s="1"/>
      <c r="B8" s="112" t="s">
        <v>109</v>
      </c>
      <c r="C8" s="112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7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5" x14ac:dyDescent="0.4">
      <c r="A9" s="1"/>
      <c r="B9" s="104" t="s">
        <v>158</v>
      </c>
      <c r="C9" s="104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76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5" x14ac:dyDescent="0.4">
      <c r="A10" s="1"/>
      <c r="B10" s="104" t="s">
        <v>110</v>
      </c>
      <c r="C10" s="104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7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5" x14ac:dyDescent="0.4">
      <c r="A11" s="1"/>
      <c r="B11" s="104" t="s">
        <v>111</v>
      </c>
      <c r="C11" s="104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7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5" x14ac:dyDescent="0.4">
      <c r="A12" s="1"/>
      <c r="B12" s="104" t="s">
        <v>112</v>
      </c>
      <c r="C12" s="104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7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5" x14ac:dyDescent="0.4">
      <c r="A13" s="1"/>
      <c r="B13" s="104" t="s">
        <v>113</v>
      </c>
      <c r="C13" s="104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7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5" x14ac:dyDescent="0.4">
      <c r="A14" s="1"/>
      <c r="B14" s="104" t="s">
        <v>114</v>
      </c>
      <c r="C14" s="104"/>
      <c r="D14" s="229"/>
      <c r="E14" s="229"/>
      <c r="F14" s="229"/>
      <c r="G14" s="229"/>
      <c r="H14" s="229"/>
      <c r="I14" s="229"/>
      <c r="J14" s="229"/>
      <c r="K14" s="229"/>
      <c r="L14" s="229"/>
      <c r="M14" s="229"/>
      <c r="N14" s="7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x14ac:dyDescent="0.4">
      <c r="A15" s="1"/>
      <c r="B15" s="104" t="s">
        <v>115</v>
      </c>
      <c r="C15" s="104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7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x14ac:dyDescent="0.4">
      <c r="A16" s="1"/>
      <c r="B16" s="104" t="s">
        <v>116</v>
      </c>
      <c r="C16" s="104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7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5" x14ac:dyDescent="0.4">
      <c r="A17" s="1"/>
      <c r="B17" s="104" t="s">
        <v>117</v>
      </c>
      <c r="C17" s="104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7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5" x14ac:dyDescent="0.4">
      <c r="A18" s="1"/>
      <c r="B18" s="104" t="s">
        <v>118</v>
      </c>
      <c r="C18" s="104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7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5" x14ac:dyDescent="0.4">
      <c r="A19" s="1"/>
      <c r="B19" s="104" t="s">
        <v>119</v>
      </c>
      <c r="C19" s="104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7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5" x14ac:dyDescent="0.4">
      <c r="A20" s="1"/>
      <c r="B20" s="104" t="s">
        <v>120</v>
      </c>
      <c r="C20" s="104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7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" x14ac:dyDescent="0.4">
      <c r="A21" s="1"/>
      <c r="B21" s="104" t="s">
        <v>159</v>
      </c>
      <c r="C21" s="104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76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45" thickBot="1" x14ac:dyDescent="0.45">
      <c r="A22" s="1"/>
      <c r="B22" s="113" t="s">
        <v>160</v>
      </c>
      <c r="C22" s="113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76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8" customHeight="1" thickTop="1" thickBot="1" x14ac:dyDescent="0.45">
      <c r="A23" s="1"/>
      <c r="B23" s="114" t="s">
        <v>127</v>
      </c>
      <c r="C23" s="115"/>
      <c r="D23" s="235">
        <f>SUM(D7:D22)</f>
        <v>0</v>
      </c>
      <c r="E23" s="235">
        <f t="shared" ref="E23:M23" si="0">SUM(E7:E22)</f>
        <v>0</v>
      </c>
      <c r="F23" s="235">
        <f t="shared" si="0"/>
        <v>0</v>
      </c>
      <c r="G23" s="235">
        <f t="shared" si="0"/>
        <v>0</v>
      </c>
      <c r="H23" s="235">
        <f t="shared" si="0"/>
        <v>0</v>
      </c>
      <c r="I23" s="235">
        <f t="shared" si="0"/>
        <v>0</v>
      </c>
      <c r="J23" s="235">
        <f t="shared" si="0"/>
        <v>0</v>
      </c>
      <c r="K23" s="235">
        <f t="shared" si="0"/>
        <v>0</v>
      </c>
      <c r="L23" s="235">
        <f t="shared" si="0"/>
        <v>0</v>
      </c>
      <c r="M23" s="235">
        <f t="shared" si="0"/>
        <v>0</v>
      </c>
      <c r="N23" s="76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45" thickTop="1" x14ac:dyDescent="0.4">
      <c r="A24" s="1"/>
      <c r="B24" s="116" t="s">
        <v>121</v>
      </c>
      <c r="C24" s="11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7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45" thickBot="1" x14ac:dyDescent="0.45">
      <c r="A25" s="1"/>
      <c r="B25" s="113" t="s">
        <v>122</v>
      </c>
      <c r="C25" s="113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76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21" customHeight="1" thickTop="1" thickBot="1" x14ac:dyDescent="0.45">
      <c r="A26" s="1"/>
      <c r="B26" s="114" t="s">
        <v>128</v>
      </c>
      <c r="C26" s="115"/>
      <c r="D26" s="235">
        <f>D23+D24+D25</f>
        <v>0</v>
      </c>
      <c r="E26" s="235">
        <f t="shared" ref="E26:M26" si="1">E23+E24+E25</f>
        <v>0</v>
      </c>
      <c r="F26" s="235">
        <f t="shared" si="1"/>
        <v>0</v>
      </c>
      <c r="G26" s="235">
        <f t="shared" si="1"/>
        <v>0</v>
      </c>
      <c r="H26" s="235">
        <f t="shared" si="1"/>
        <v>0</v>
      </c>
      <c r="I26" s="235">
        <f t="shared" si="1"/>
        <v>0</v>
      </c>
      <c r="J26" s="235">
        <f t="shared" si="1"/>
        <v>0</v>
      </c>
      <c r="K26" s="235">
        <f t="shared" si="1"/>
        <v>0</v>
      </c>
      <c r="L26" s="235">
        <f t="shared" si="1"/>
        <v>0</v>
      </c>
      <c r="M26" s="235">
        <f t="shared" si="1"/>
        <v>0</v>
      </c>
      <c r="N26" s="76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9.5" customHeight="1" thickTop="1" thickBot="1" x14ac:dyDescent="0.45">
      <c r="A27" s="1"/>
      <c r="B27" s="352" t="s">
        <v>391</v>
      </c>
      <c r="C27" s="353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7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" customHeight="1" thickTop="1" x14ac:dyDescent="0.4">
      <c r="A28" s="1"/>
      <c r="B28" s="350" t="s">
        <v>123</v>
      </c>
      <c r="C28" s="350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76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8" customHeight="1" thickBot="1" x14ac:dyDescent="0.45">
      <c r="A29" s="1"/>
      <c r="B29" s="113" t="s">
        <v>124</v>
      </c>
      <c r="C29" s="113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76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8" customHeight="1" thickTop="1" thickBot="1" x14ac:dyDescent="0.45">
      <c r="A30" s="1"/>
      <c r="B30" s="114" t="s">
        <v>125</v>
      </c>
      <c r="C30" s="115"/>
      <c r="D30" s="235">
        <f>D26+D28+D29</f>
        <v>0</v>
      </c>
      <c r="E30" s="235">
        <f t="shared" ref="E30:M30" si="2">E26+E28+E29</f>
        <v>0</v>
      </c>
      <c r="F30" s="235">
        <f t="shared" si="2"/>
        <v>0</v>
      </c>
      <c r="G30" s="235">
        <f t="shared" si="2"/>
        <v>0</v>
      </c>
      <c r="H30" s="235">
        <f t="shared" si="2"/>
        <v>0</v>
      </c>
      <c r="I30" s="235">
        <f t="shared" si="2"/>
        <v>0</v>
      </c>
      <c r="J30" s="235">
        <f t="shared" si="2"/>
        <v>0</v>
      </c>
      <c r="K30" s="235">
        <f t="shared" si="2"/>
        <v>0</v>
      </c>
      <c r="L30" s="235">
        <f t="shared" si="2"/>
        <v>0</v>
      </c>
      <c r="M30" s="235">
        <f t="shared" si="2"/>
        <v>0</v>
      </c>
      <c r="N30" s="76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9" thickTop="1" thickBot="1" x14ac:dyDescent="0.45">
      <c r="A31" s="1"/>
      <c r="B31" s="116" t="s">
        <v>126</v>
      </c>
      <c r="C31" s="116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76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8" customHeight="1" thickTop="1" thickBot="1" x14ac:dyDescent="0.45">
      <c r="A32" s="1"/>
      <c r="B32" s="114" t="s">
        <v>69</v>
      </c>
      <c r="C32" s="115"/>
      <c r="D32" s="235">
        <f>SUM(D30:D31)</f>
        <v>0</v>
      </c>
      <c r="E32" s="235">
        <f t="shared" ref="E32:M32" si="3">SUM(E30:E31)</f>
        <v>0</v>
      </c>
      <c r="F32" s="235">
        <f t="shared" si="3"/>
        <v>0</v>
      </c>
      <c r="G32" s="235">
        <f t="shared" si="3"/>
        <v>0</v>
      </c>
      <c r="H32" s="235">
        <f t="shared" si="3"/>
        <v>0</v>
      </c>
      <c r="I32" s="235">
        <f t="shared" si="3"/>
        <v>0</v>
      </c>
      <c r="J32" s="235">
        <f t="shared" si="3"/>
        <v>0</v>
      </c>
      <c r="K32" s="235">
        <f t="shared" si="3"/>
        <v>0</v>
      </c>
      <c r="L32" s="235">
        <f t="shared" si="3"/>
        <v>0</v>
      </c>
      <c r="M32" s="235">
        <f t="shared" si="3"/>
        <v>0</v>
      </c>
      <c r="N32" s="76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45" thickTop="1" x14ac:dyDescent="0.4">
      <c r="A33" s="1"/>
      <c r="B33" s="76"/>
      <c r="C33" s="76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76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" x14ac:dyDescent="0.4">
      <c r="A34" s="1"/>
      <c r="B34" s="75"/>
      <c r="C34" s="76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7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" x14ac:dyDescent="0.4">
      <c r="A35" s="68"/>
      <c r="B35" s="117" t="s">
        <v>130</v>
      </c>
      <c r="C35" s="118"/>
      <c r="D35" s="239">
        <f>D32-BAL!D49</f>
        <v>0</v>
      </c>
      <c r="E35" s="239">
        <f>E32-BAL!E49</f>
        <v>0</v>
      </c>
      <c r="F35" s="239">
        <f>F32-BAL!F49</f>
        <v>0</v>
      </c>
      <c r="G35" s="239">
        <f>G32-BAL!G49</f>
        <v>0</v>
      </c>
      <c r="H35" s="239">
        <f>H32-BAL!H49</f>
        <v>0</v>
      </c>
      <c r="I35" s="239">
        <f>I32-BAL!I49</f>
        <v>0</v>
      </c>
      <c r="J35" s="239">
        <f>J32-BAL!J49</f>
        <v>0</v>
      </c>
      <c r="K35" s="239">
        <f>K32-BAL!K49</f>
        <v>0</v>
      </c>
      <c r="L35" s="239">
        <f>L32-BAL!L49</f>
        <v>0</v>
      </c>
      <c r="M35" s="239">
        <f>M32-BAL!M49</f>
        <v>0</v>
      </c>
      <c r="N35" s="7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" x14ac:dyDescent="0.4">
      <c r="A36" s="1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" x14ac:dyDescent="0.4">
      <c r="A37" s="1"/>
      <c r="B37" s="76"/>
      <c r="C37" s="76"/>
      <c r="D37" s="282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" hidden="1" x14ac:dyDescent="0.4">
      <c r="A38" s="1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" hidden="1" x14ac:dyDescent="0.4">
      <c r="A39" s="1"/>
      <c r="B39" s="76"/>
      <c r="C39" s="76"/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76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" hidden="1" x14ac:dyDescent="0.4">
      <c r="A40" s="1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" hidden="1" x14ac:dyDescent="0.4">
      <c r="A41" s="1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" hidden="1" x14ac:dyDescent="0.4">
      <c r="A42" s="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" hidden="1" x14ac:dyDescent="0.4">
      <c r="A43" s="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" hidden="1" x14ac:dyDescent="0.4">
      <c r="A44" s="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" hidden="1" x14ac:dyDescent="0.4">
      <c r="A45" s="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" hidden="1" x14ac:dyDescent="0.4">
      <c r="A46" s="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5" hidden="1" x14ac:dyDescent="0.4">
      <c r="A47" s="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" hidden="1" x14ac:dyDescent="0.4">
      <c r="A48" s="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5" hidden="1" x14ac:dyDescent="0.4">
      <c r="A49" s="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15" hidden="1" x14ac:dyDescent="0.4">
      <c r="A50" s="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" hidden="1" x14ac:dyDescent="0.4">
      <c r="A51" s="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" hidden="1" x14ac:dyDescent="0.4">
      <c r="A52" s="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hidden="1" x14ac:dyDescent="0.4">
      <c r="A53" s="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hidden="1" x14ac:dyDescent="0.4">
      <c r="A54" s="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hidden="1" x14ac:dyDescent="0.4">
      <c r="A55" s="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hidden="1" x14ac:dyDescent="0.4">
      <c r="A56" s="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hidden="1" x14ac:dyDescent="0.4">
      <c r="A57" s="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hidden="1" x14ac:dyDescent="0.4">
      <c r="A58" s="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hidden="1" x14ac:dyDescent="0.4">
      <c r="A59" s="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" hidden="1" x14ac:dyDescent="0.4">
      <c r="A60" s="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" hidden="1" x14ac:dyDescent="0.4">
      <c r="A61" s="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" hidden="1" x14ac:dyDescent="0.4">
      <c r="A62" s="1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" hidden="1" x14ac:dyDescent="0.4">
      <c r="A63" s="1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" hidden="1" x14ac:dyDescent="0.4">
      <c r="A64" s="1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" hidden="1" x14ac:dyDescent="0.4">
      <c r="A65" s="1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" hidden="1" x14ac:dyDescent="0.4">
      <c r="A66" s="1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" hidden="1" x14ac:dyDescent="0.4">
      <c r="A67" s="1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" hidden="1" x14ac:dyDescent="0.4">
      <c r="A68" s="1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" hidden="1" x14ac:dyDescent="0.4">
      <c r="A69" s="1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" hidden="1" x14ac:dyDescent="0.4">
      <c r="A70" s="1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" hidden="1" x14ac:dyDescent="0.4">
      <c r="A71" s="1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" hidden="1" x14ac:dyDescent="0.4">
      <c r="A72" s="1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" hidden="1" x14ac:dyDescent="0.4">
      <c r="A73" s="1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" hidden="1" x14ac:dyDescent="0.4">
      <c r="A74" s="1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" hidden="1" x14ac:dyDescent="0.4">
      <c r="A75" s="1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" hidden="1" x14ac:dyDescent="0.4">
      <c r="A76" s="1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" hidden="1" x14ac:dyDescent="0.4">
      <c r="A77" s="1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" hidden="1" x14ac:dyDescent="0.4">
      <c r="A78" s="1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" hidden="1" x14ac:dyDescent="0.4">
      <c r="A79" s="1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" hidden="1" x14ac:dyDescent="0.4">
      <c r="A80" s="1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" hidden="1" x14ac:dyDescent="0.4">
      <c r="A81" s="1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" hidden="1" x14ac:dyDescent="0.4">
      <c r="A82" s="1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" hidden="1" x14ac:dyDescent="0.4">
      <c r="A83" s="1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5" hidden="1" x14ac:dyDescent="0.4">
      <c r="A84" s="1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5" hidden="1" x14ac:dyDescent="0.4">
      <c r="A85" s="1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5" hidden="1" x14ac:dyDescent="0.4">
      <c r="A86" s="1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5" hidden="1" x14ac:dyDescent="0.4">
      <c r="A87" s="1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5" hidden="1" x14ac:dyDescent="0.4">
      <c r="A88" s="1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5" hidden="1" x14ac:dyDescent="0.4">
      <c r="A89" s="1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5" hidden="1" x14ac:dyDescent="0.4">
      <c r="A90" s="1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" hidden="1" x14ac:dyDescent="0.4">
      <c r="A91" s="1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" hidden="1" x14ac:dyDescent="0.4">
      <c r="A92" s="1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" hidden="1" x14ac:dyDescent="0.4">
      <c r="A93" s="1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" hidden="1" x14ac:dyDescent="0.4">
      <c r="A94" s="1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" hidden="1" x14ac:dyDescent="0.4">
      <c r="A95" s="1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" hidden="1" x14ac:dyDescent="0.4">
      <c r="A96" s="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" hidden="1" x14ac:dyDescent="0.4">
      <c r="A97" s="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" hidden="1" x14ac:dyDescent="0.4">
      <c r="A98" s="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" hidden="1" x14ac:dyDescent="0.4">
      <c r="A99" s="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" hidden="1" x14ac:dyDescent="0.4">
      <c r="A100" s="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idden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idden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idden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idden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idden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idden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idden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idden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idden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idden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idden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idden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idden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idden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idden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idden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idden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idden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idden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idden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idden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idden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idden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idden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idden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idden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idden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idden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idden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idden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idden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idden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idden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idden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idden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idden="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idden="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idden="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idden="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idden="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idden="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idden="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idden="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idden="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idden="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idden="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idden="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idden="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idden="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idden="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idden="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idden="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idden="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idden="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idden="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idden="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idden="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idden="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idden="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idden="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idden="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idden="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idden="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idden="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idden="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idden="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idden="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idden="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idden="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idden="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idden="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idden="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idden="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idden="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idden="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idden="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idden="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idden="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idden="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idden="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idden="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idden="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idden="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idden="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idden="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idden="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idden="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42" hidden="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42" hidden="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42" hidden="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42" hidden="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42" hidden="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idden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idden="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idden="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idden="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idden="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idden="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idden="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idden="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idden="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idden="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idden="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idden="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idden="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idden="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idden="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idden="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idden="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idden="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idden="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idden="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idden="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idden="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idden="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idden="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idden="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idden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idden="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idden="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idden="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idden="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idden="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idden="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idden="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idden="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idden="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idden="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idden="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idden="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idden="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idden="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idden="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idden="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idden="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idden="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idden="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idden="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idden="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idden="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idden="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idden="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idden="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idden="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idden="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idden="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idden="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idden="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idden="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idden="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idden="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idden="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idden="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idden="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idden="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idden="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idden="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idden="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idden="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idden="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idden="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idden="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idden="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idden="1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idden="1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idden="1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idden="1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idden="1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idden="1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idden="1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idden="1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idden="1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idden="1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idden="1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idden="1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idden="1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idden="1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idden="1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idden="1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idden="1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idden="1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idden="1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idden="1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idden="1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idden="1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idden="1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idden="1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idden="1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idden="1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idden="1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</sheetData>
  <sheetProtection formatCells="0" selectLockedCells="1" selectUnlockedCells="1"/>
  <mergeCells count="2">
    <mergeCell ref="B5:B6"/>
    <mergeCell ref="C5:C6"/>
  </mergeCells>
  <dataValidations count="9">
    <dataValidation allowBlank="1" showInputMessage="1" showErrorMessage="1" errorTitle="Erro" error="Não introduzir dados nesta célula" sqref="B35" xr:uid="{B2F28542-E2B5-4246-A6A6-52DB35D1C087}"/>
    <dataValidation operator="lessThanOrEqual" allowBlank="1" showInputMessage="1" showErrorMessage="1" sqref="D31:M31" xr:uid="{367F4444-12E0-4DBB-ABCA-2DC3710A356D}"/>
    <dataValidation type="decimal" operator="lessThanOrEqual" allowBlank="1" showInputMessage="1" showErrorMessage="1" error="Inserir nº igual ou inferior a zero_x000a_" sqref="D29:M29" xr:uid="{B61E0F3C-76FD-48D4-A21E-760B93ED59CC}">
      <formula1>0</formula1>
    </dataValidation>
    <dataValidation type="decimal" operator="lessThanOrEqual" allowBlank="1" showInputMessage="1" showErrorMessage="1" error="Introduzir n.º igual ou inferior a zero." sqref="D22:M22 D13:M15" xr:uid="{5872922D-4E60-441D-893D-CF43E7F8A891}">
      <formula1>0</formula1>
    </dataValidation>
    <dataValidation type="decimal" operator="greaterThanOrEqual" allowBlank="1" showInputMessage="1" showErrorMessage="1" error="Introduzir nº igual ou superior a zero._x000a_" sqref="D8:M9" xr:uid="{F2F441B8-1A6C-4A16-A0D7-11DF21D00F51}">
      <formula1>0</formula1>
    </dataValidation>
    <dataValidation operator="greaterThanOrEqual" allowBlank="1" showInputMessage="1" showErrorMessage="1" error="Introduzir n.º igual ou superior a zero" sqref="D11:M12" xr:uid="{1175124C-EC83-4FEC-AB48-C056CCF8DAEF}"/>
    <dataValidation type="decimal" operator="greaterThanOrEqual" allowBlank="1" showInputMessage="1" showErrorMessage="1" error="Introduzir n.º igual ou superior a zero." sqref="D21:M21" xr:uid="{568ACB5A-423E-423D-A1A3-55902A7F2BF9}">
      <formula1>0</formula1>
    </dataValidation>
    <dataValidation type="decimal" operator="greaterThanOrEqual" allowBlank="1" showInputMessage="1" showErrorMessage="1" error="Introduzir n.º superior ou igual a zero." sqref="D28:M28" xr:uid="{3D4410BE-6E10-4DF4-99BC-E2BCC0B0727E}">
      <formula1>0</formula1>
    </dataValidation>
    <dataValidation operator="greaterThanOrEqual" allowBlank="1" showInputMessage="1" showErrorMessage="1" error="Introduzir nº igual ou superior a zero._x000a_" sqref="D7:M7" xr:uid="{2254993C-B5C7-4647-A210-F5221DC77BEB}"/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6B17-BE45-42F1-A0E9-39C8D3F459EE}">
  <sheetPr>
    <tabColor rgb="FFF2A068"/>
  </sheetPr>
  <dimension ref="A1:CN64"/>
  <sheetViews>
    <sheetView topLeftCell="A27" workbookViewId="0">
      <selection activeCell="F36" sqref="F36"/>
    </sheetView>
  </sheetViews>
  <sheetFormatPr defaultColWidth="0" defaultRowHeight="14.6" zeroHeight="1" x14ac:dyDescent="0.4"/>
  <cols>
    <col min="1" max="1" width="9.23046875" customWidth="1"/>
    <col min="2" max="2" width="59.53515625" bestFit="1" customWidth="1"/>
    <col min="3" max="3" width="9.23046875" customWidth="1"/>
    <col min="4" max="7" width="14.69140625" bestFit="1" customWidth="1"/>
    <col min="8" max="9" width="13.53515625" bestFit="1" customWidth="1"/>
    <col min="10" max="13" width="14.69140625" bestFit="1" customWidth="1"/>
    <col min="14" max="14" width="9.23046875" customWidth="1"/>
    <col min="15" max="18" width="9.23046875" hidden="1" customWidth="1"/>
    <col min="19" max="92" width="0" hidden="1" customWidth="1"/>
    <col min="93" max="16384" width="9.23046875" hidden="1"/>
  </cols>
  <sheetData>
    <row r="1" spans="1:92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x14ac:dyDescent="0.4">
      <c r="A3" s="1"/>
      <c r="B3" s="99" t="s">
        <v>131</v>
      </c>
      <c r="C3" s="109"/>
      <c r="D3" s="109"/>
      <c r="E3" s="120"/>
      <c r="F3" s="120"/>
      <c r="G3" s="120"/>
      <c r="H3" s="120"/>
      <c r="I3" s="120"/>
      <c r="J3" s="120"/>
      <c r="K3" s="120"/>
      <c r="L3" s="120"/>
      <c r="M3" s="120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x14ac:dyDescent="0.4">
      <c r="A4" s="1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 t="s">
        <v>129</v>
      </c>
      <c r="M4" s="202" t="s">
        <v>350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x14ac:dyDescent="0.4">
      <c r="A5" s="1"/>
      <c r="B5" s="571" t="s">
        <v>51</v>
      </c>
      <c r="C5" s="572" t="s">
        <v>52</v>
      </c>
      <c r="D5" s="101">
        <v>2024</v>
      </c>
      <c r="E5" s="101">
        <v>2025</v>
      </c>
      <c r="F5" s="101">
        <v>2026</v>
      </c>
      <c r="G5" s="101">
        <v>2026</v>
      </c>
      <c r="H5" s="101" t="s">
        <v>462</v>
      </c>
      <c r="I5" s="101" t="s">
        <v>463</v>
      </c>
      <c r="J5" s="101" t="s">
        <v>464</v>
      </c>
      <c r="K5" s="101" t="s">
        <v>465</v>
      </c>
      <c r="L5" s="101">
        <v>2028</v>
      </c>
      <c r="M5" s="101">
        <v>2029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92" ht="15" thickBot="1" x14ac:dyDescent="0.45">
      <c r="A6" s="1"/>
      <c r="B6" s="579"/>
      <c r="C6" s="580"/>
      <c r="D6" s="121" t="s">
        <v>77</v>
      </c>
      <c r="E6" s="121" t="s">
        <v>77</v>
      </c>
      <c r="F6" s="121" t="s">
        <v>78</v>
      </c>
      <c r="G6" s="121" t="s">
        <v>368</v>
      </c>
      <c r="H6" s="121" t="s">
        <v>79</v>
      </c>
      <c r="I6" s="121" t="s">
        <v>79</v>
      </c>
      <c r="J6" s="121" t="s">
        <v>79</v>
      </c>
      <c r="K6" s="121" t="s">
        <v>79</v>
      </c>
      <c r="L6" s="121" t="s">
        <v>79</v>
      </c>
      <c r="M6" s="121" t="s">
        <v>79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92" ht="15.45" thickTop="1" x14ac:dyDescent="0.4">
      <c r="A7" s="1"/>
      <c r="B7" s="581" t="s">
        <v>153</v>
      </c>
      <c r="C7" s="581"/>
      <c r="D7" s="581"/>
      <c r="E7" s="581"/>
      <c r="F7" s="581"/>
      <c r="G7" s="581"/>
      <c r="H7" s="581"/>
      <c r="I7" s="581"/>
      <c r="J7" s="581"/>
      <c r="K7" s="581"/>
      <c r="L7" s="581"/>
      <c r="M7" s="58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92" x14ac:dyDescent="0.4">
      <c r="A8" s="1"/>
      <c r="B8" s="151" t="s">
        <v>163</v>
      </c>
      <c r="C8" s="151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1"/>
      <c r="O8" s="1"/>
      <c r="P8" s="1"/>
      <c r="Q8" s="1"/>
      <c r="R8" s="1"/>
      <c r="S8" s="1"/>
      <c r="T8" s="1"/>
      <c r="U8" s="1"/>
      <c r="V8" s="1"/>
      <c r="W8" s="1"/>
    </row>
    <row r="9" spans="1:92" x14ac:dyDescent="0.4">
      <c r="A9" s="1"/>
      <c r="B9" s="151" t="s">
        <v>132</v>
      </c>
      <c r="C9" s="151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92" x14ac:dyDescent="0.4">
      <c r="A10" s="1"/>
      <c r="B10" s="151" t="s">
        <v>133</v>
      </c>
      <c r="C10" s="151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92" x14ac:dyDescent="0.4">
      <c r="A11" s="1"/>
      <c r="B11" s="152" t="s">
        <v>134</v>
      </c>
      <c r="C11" s="152"/>
      <c r="D11" s="241">
        <f>SUM(D8:D10)</f>
        <v>0</v>
      </c>
      <c r="E11" s="241">
        <f t="shared" ref="E11:M11" si="0">SUM(E8:E10)</f>
        <v>0</v>
      </c>
      <c r="F11" s="241">
        <f t="shared" si="0"/>
        <v>0</v>
      </c>
      <c r="G11" s="241">
        <f t="shared" si="0"/>
        <v>0</v>
      </c>
      <c r="H11" s="241">
        <f t="shared" si="0"/>
        <v>0</v>
      </c>
      <c r="I11" s="241">
        <f t="shared" si="0"/>
        <v>0</v>
      </c>
      <c r="J11" s="241">
        <f t="shared" si="0"/>
        <v>0</v>
      </c>
      <c r="K11" s="241">
        <f t="shared" si="0"/>
        <v>0</v>
      </c>
      <c r="L11" s="241">
        <f t="shared" si="0"/>
        <v>0</v>
      </c>
      <c r="M11" s="241">
        <f t="shared" si="0"/>
        <v>0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92" x14ac:dyDescent="0.4">
      <c r="A12" s="1"/>
      <c r="B12" s="151" t="s">
        <v>135</v>
      </c>
      <c r="C12" s="151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92" x14ac:dyDescent="0.4">
      <c r="A13" s="1"/>
      <c r="B13" s="151" t="s">
        <v>136</v>
      </c>
      <c r="C13" s="151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92" ht="15" thickBot="1" x14ac:dyDescent="0.45">
      <c r="A14" s="1"/>
      <c r="B14" s="152" t="s">
        <v>148</v>
      </c>
      <c r="C14" s="152"/>
      <c r="D14" s="241">
        <f>D11+D12+D13</f>
        <v>0</v>
      </c>
      <c r="E14" s="241">
        <f t="shared" ref="E14:M14" si="1">E11+E12+E13</f>
        <v>0</v>
      </c>
      <c r="F14" s="241">
        <f t="shared" si="1"/>
        <v>0</v>
      </c>
      <c r="G14" s="241">
        <f t="shared" si="1"/>
        <v>0</v>
      </c>
      <c r="H14" s="241">
        <f t="shared" si="1"/>
        <v>0</v>
      </c>
      <c r="I14" s="241">
        <f t="shared" si="1"/>
        <v>0</v>
      </c>
      <c r="J14" s="241">
        <f t="shared" si="1"/>
        <v>0</v>
      </c>
      <c r="K14" s="241">
        <f t="shared" si="1"/>
        <v>0</v>
      </c>
      <c r="L14" s="241">
        <f t="shared" si="1"/>
        <v>0</v>
      </c>
      <c r="M14" s="241">
        <f t="shared" si="1"/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92" ht="15" thickTop="1" x14ac:dyDescent="0.4">
      <c r="A15" s="1"/>
      <c r="B15" s="582" t="s">
        <v>154</v>
      </c>
      <c r="C15" s="582"/>
      <c r="D15" s="582"/>
      <c r="E15" s="582"/>
      <c r="F15" s="582"/>
      <c r="G15" s="582"/>
      <c r="H15" s="582"/>
      <c r="I15" s="582"/>
      <c r="J15" s="582"/>
      <c r="K15" s="582"/>
      <c r="L15" s="582"/>
      <c r="M15" s="582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92" x14ac:dyDescent="0.4">
      <c r="A16" s="1"/>
      <c r="B16" s="152" t="s">
        <v>137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4">
      <c r="A17" s="1"/>
      <c r="B17" s="151" t="s">
        <v>53</v>
      </c>
      <c r="C17" s="151"/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4">
      <c r="A18" s="1"/>
      <c r="B18" s="151" t="s">
        <v>54</v>
      </c>
      <c r="C18" s="151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4">
      <c r="A19" s="1"/>
      <c r="B19" s="151" t="s">
        <v>161</v>
      </c>
      <c r="C19" s="151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4">
      <c r="A20" s="1"/>
      <c r="B20" s="151" t="s">
        <v>138</v>
      </c>
      <c r="C20" s="151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4">
      <c r="A21" s="1"/>
      <c r="B21" s="151" t="s">
        <v>162</v>
      </c>
      <c r="C21" s="151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4">
      <c r="A22" s="1"/>
      <c r="B22" s="152" t="s">
        <v>139</v>
      </c>
      <c r="C22" s="153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4">
      <c r="A23" s="1"/>
      <c r="B23" s="151" t="s">
        <v>53</v>
      </c>
      <c r="C23" s="151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4">
      <c r="A24" s="1"/>
      <c r="B24" s="151" t="s">
        <v>54</v>
      </c>
      <c r="C24" s="151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4">
      <c r="A25" s="1"/>
      <c r="B25" s="151" t="s">
        <v>138</v>
      </c>
      <c r="C25" s="151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4">
      <c r="A26" s="1"/>
      <c r="B26" s="151" t="s">
        <v>140</v>
      </c>
      <c r="C26" s="151"/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4">
      <c r="A27" s="1"/>
      <c r="B27" s="151" t="s">
        <v>141</v>
      </c>
      <c r="C27" s="151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4">
      <c r="A28" s="1"/>
      <c r="B28" s="151" t="s">
        <v>142</v>
      </c>
      <c r="C28" s="151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 thickBot="1" x14ac:dyDescent="0.45">
      <c r="A29" s="1"/>
      <c r="B29" s="152" t="s">
        <v>149</v>
      </c>
      <c r="C29" s="152"/>
      <c r="D29" s="241">
        <f>SUM(D17:D21,D23:D28)</f>
        <v>0</v>
      </c>
      <c r="E29" s="241">
        <f t="shared" ref="E29:M29" si="2">SUM(E17:E21,E23:E28)</f>
        <v>0</v>
      </c>
      <c r="F29" s="241">
        <f t="shared" si="2"/>
        <v>0</v>
      </c>
      <c r="G29" s="241">
        <f t="shared" si="2"/>
        <v>0</v>
      </c>
      <c r="H29" s="241">
        <f t="shared" si="2"/>
        <v>0</v>
      </c>
      <c r="I29" s="241">
        <f t="shared" si="2"/>
        <v>0</v>
      </c>
      <c r="J29" s="241">
        <f t="shared" si="2"/>
        <v>0</v>
      </c>
      <c r="K29" s="241">
        <f t="shared" si="2"/>
        <v>0</v>
      </c>
      <c r="L29" s="241">
        <f t="shared" si="2"/>
        <v>0</v>
      </c>
      <c r="M29" s="241">
        <f t="shared" si="2"/>
        <v>0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 thickTop="1" x14ac:dyDescent="0.4">
      <c r="A30" s="1"/>
      <c r="B30" s="582" t="s">
        <v>155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4">
      <c r="A31" s="1"/>
      <c r="B31" s="152" t="s">
        <v>139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4">
      <c r="A32" s="1"/>
      <c r="B32" s="151" t="s">
        <v>71</v>
      </c>
      <c r="C32" s="151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4">
      <c r="A33" s="1"/>
      <c r="B33" s="151" t="s">
        <v>143</v>
      </c>
      <c r="C33" s="151"/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4">
      <c r="A34" s="1"/>
      <c r="B34" s="151" t="s">
        <v>144</v>
      </c>
      <c r="C34" s="151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4">
      <c r="A35" s="1"/>
      <c r="B35" s="151" t="s">
        <v>145</v>
      </c>
      <c r="C35" s="151"/>
      <c r="D35" s="229"/>
      <c r="E35" s="229"/>
      <c r="F35" s="229"/>
      <c r="G35" s="229"/>
      <c r="H35" s="229"/>
      <c r="I35" s="229"/>
      <c r="J35" s="229"/>
      <c r="K35" s="229"/>
      <c r="L35" s="229"/>
      <c r="M35" s="229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4">
      <c r="A36" s="1"/>
      <c r="B36" s="152" t="s">
        <v>137</v>
      </c>
      <c r="C36" s="153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4">
      <c r="A37" s="1"/>
      <c r="B37" s="151" t="s">
        <v>71</v>
      </c>
      <c r="C37" s="151"/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4">
      <c r="A38" s="1"/>
      <c r="B38" s="151" t="s">
        <v>146</v>
      </c>
      <c r="C38" s="151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4">
      <c r="A39" s="1"/>
      <c r="B39" s="151" t="s">
        <v>142</v>
      </c>
      <c r="C39" s="151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4">
      <c r="A40" s="1"/>
      <c r="B40" s="151" t="s">
        <v>147</v>
      </c>
      <c r="C40" s="151"/>
      <c r="D40" s="229"/>
      <c r="E40" s="229"/>
      <c r="F40" s="229"/>
      <c r="G40" s="229"/>
      <c r="H40" s="229"/>
      <c r="I40" s="229"/>
      <c r="J40" s="229"/>
      <c r="K40" s="229"/>
      <c r="L40" s="229"/>
      <c r="M40" s="229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4">
      <c r="A41" s="1"/>
      <c r="B41" s="154" t="s">
        <v>145</v>
      </c>
      <c r="C41" s="154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" thickBot="1" x14ac:dyDescent="0.45">
      <c r="A42" s="1"/>
      <c r="B42" s="152" t="s">
        <v>156</v>
      </c>
      <c r="C42" s="152"/>
      <c r="D42" s="241">
        <f>SUM(D32:D35,D37:D41)</f>
        <v>0</v>
      </c>
      <c r="E42" s="241">
        <f t="shared" ref="E42:M42" si="3">SUM(E32:E35,E37:E41)</f>
        <v>0</v>
      </c>
      <c r="F42" s="241">
        <f t="shared" si="3"/>
        <v>0</v>
      </c>
      <c r="G42" s="241">
        <f t="shared" si="3"/>
        <v>0</v>
      </c>
      <c r="H42" s="241">
        <f t="shared" si="3"/>
        <v>0</v>
      </c>
      <c r="I42" s="241">
        <f t="shared" si="3"/>
        <v>0</v>
      </c>
      <c r="J42" s="241">
        <f t="shared" si="3"/>
        <v>0</v>
      </c>
      <c r="K42" s="241">
        <f t="shared" si="3"/>
        <v>0</v>
      </c>
      <c r="L42" s="241">
        <f t="shared" si="3"/>
        <v>0</v>
      </c>
      <c r="M42" s="241">
        <f t="shared" si="3"/>
        <v>0</v>
      </c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" thickTop="1" x14ac:dyDescent="0.4">
      <c r="A43" s="1"/>
      <c r="B43" s="578" t="s">
        <v>150</v>
      </c>
      <c r="C43" s="578"/>
      <c r="D43" s="243">
        <f>D14+D29+D42</f>
        <v>0</v>
      </c>
      <c r="E43" s="243">
        <f t="shared" ref="E43:M43" si="4">E14+E29+E42</f>
        <v>0</v>
      </c>
      <c r="F43" s="243">
        <f t="shared" si="4"/>
        <v>0</v>
      </c>
      <c r="G43" s="243">
        <f t="shared" si="4"/>
        <v>0</v>
      </c>
      <c r="H43" s="243">
        <f t="shared" si="4"/>
        <v>0</v>
      </c>
      <c r="I43" s="243">
        <f t="shared" si="4"/>
        <v>0</v>
      </c>
      <c r="J43" s="243">
        <f t="shared" si="4"/>
        <v>0</v>
      </c>
      <c r="K43" s="243">
        <f t="shared" si="4"/>
        <v>0</v>
      </c>
      <c r="L43" s="243">
        <f t="shared" si="4"/>
        <v>0</v>
      </c>
      <c r="M43" s="243">
        <f t="shared" si="4"/>
        <v>0</v>
      </c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4">
      <c r="A44" s="1"/>
      <c r="B44" s="155" t="s">
        <v>151</v>
      </c>
      <c r="C44" s="156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4">
      <c r="A45" s="1"/>
      <c r="B45" s="157" t="s">
        <v>152</v>
      </c>
      <c r="C45" s="158"/>
      <c r="D45" s="247">
        <f>D43+D44</f>
        <v>0</v>
      </c>
      <c r="E45" s="247">
        <f t="shared" ref="E45:M45" si="5">E43+E44</f>
        <v>0</v>
      </c>
      <c r="F45" s="247">
        <f t="shared" si="5"/>
        <v>0</v>
      </c>
      <c r="G45" s="247">
        <f t="shared" si="5"/>
        <v>0</v>
      </c>
      <c r="H45" s="247">
        <f t="shared" si="5"/>
        <v>0</v>
      </c>
      <c r="I45" s="247">
        <f t="shared" si="5"/>
        <v>0</v>
      </c>
      <c r="J45" s="247">
        <f t="shared" si="5"/>
        <v>0</v>
      </c>
      <c r="K45" s="247">
        <f t="shared" si="5"/>
        <v>0</v>
      </c>
      <c r="L45" s="247">
        <f t="shared" si="5"/>
        <v>0</v>
      </c>
      <c r="M45" s="247">
        <f t="shared" si="5"/>
        <v>0</v>
      </c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4">
      <c r="A46" s="1"/>
      <c r="B46" s="159"/>
      <c r="C46" s="159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4">
      <c r="A47" s="1"/>
      <c r="B47" s="160" t="s">
        <v>130</v>
      </c>
      <c r="C47" s="161"/>
      <c r="D47" s="246">
        <f>D45-BAL!D34</f>
        <v>0</v>
      </c>
      <c r="E47" s="246">
        <f>E45-BAL!E34</f>
        <v>0</v>
      </c>
      <c r="F47" s="246">
        <f>F45-BAL!F34</f>
        <v>0</v>
      </c>
      <c r="G47" s="246">
        <f>G45-BAL!G34</f>
        <v>0</v>
      </c>
      <c r="H47" s="246">
        <f>H45-BAL!H34</f>
        <v>0</v>
      </c>
      <c r="I47" s="246">
        <f>I45-BAL!I34</f>
        <v>0</v>
      </c>
      <c r="J47" s="246">
        <f>J45-BAL!J34</f>
        <v>0</v>
      </c>
      <c r="K47" s="246">
        <f>K45-BAL!K34</f>
        <v>0</v>
      </c>
      <c r="L47" s="246">
        <f>L45-BAL!L34</f>
        <v>0</v>
      </c>
      <c r="M47" s="246">
        <f>M45-BAL!M34</f>
        <v>0</v>
      </c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idden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idden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idden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idden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idden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idden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idden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idden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idden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idden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idden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3" hidden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3" hidden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3" hidden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3" hidden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</sheetData>
  <mergeCells count="6">
    <mergeCell ref="B43:C43"/>
    <mergeCell ref="B5:B6"/>
    <mergeCell ref="C5:C6"/>
    <mergeCell ref="B7:M7"/>
    <mergeCell ref="B15:M15"/>
    <mergeCell ref="B30:M30"/>
  </mergeCells>
  <dataValidations count="5">
    <dataValidation type="decimal" operator="lessThanOrEqual" allowBlank="1" showInputMessage="1" showErrorMessage="1" error="Inserir nº decimal igual ou inferior a zero" sqref="D9:M10" xr:uid="{DA764786-DDF7-4874-A333-EAA8CA383D74}">
      <formula1>0</formula1>
    </dataValidation>
    <dataValidation type="decimal" operator="lessThanOrEqual" allowBlank="1" showInputMessage="1" showErrorMessage="1" error="Introduzir nºdecimal igual ou inferior a zero_x000a_" sqref="D37:M41" xr:uid="{738B8715-1956-4E4C-97E8-D3DDA05D0E69}">
      <formula1>0</formula1>
    </dataValidation>
    <dataValidation type="decimal" operator="greaterThanOrEqual" allowBlank="1" showInputMessage="1" showErrorMessage="1" error="Introduzir nº igual ou superior a zero_x000a_" sqref="D32:M35 D23:M28" xr:uid="{F057D714-E41E-485F-8AAB-ABDBDBC1E73A}">
      <formula1>0</formula1>
    </dataValidation>
    <dataValidation type="decimal" operator="lessThanOrEqual" allowBlank="1" showInputMessage="1" showErrorMessage="1" error="Introduzir nº decimal igual ou inferior a zero" sqref="D17:M21" xr:uid="{1DD68F3B-39C7-422A-B517-4311CB2F97B8}">
      <formula1>0</formula1>
    </dataValidation>
    <dataValidation type="decimal" operator="greaterThanOrEqual" allowBlank="1" showInputMessage="1" showErrorMessage="1" error="Inserir nº decimal igual ou superior a zero" sqref="D8:M8" xr:uid="{F25615F8-0EF7-47FE-B131-CA88A5456CCF}">
      <formula1>0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FFC5-12CC-4966-97B0-6B04AAE2545F}">
  <sheetPr>
    <tabColor rgb="FFF2A068"/>
  </sheetPr>
  <dimension ref="A1:AQ179"/>
  <sheetViews>
    <sheetView topLeftCell="A18" zoomScale="90" zoomScaleNormal="90" workbookViewId="0">
      <selection activeCell="C63" sqref="C63"/>
    </sheetView>
  </sheetViews>
  <sheetFormatPr defaultColWidth="0" defaultRowHeight="14.6" zeroHeight="1" x14ac:dyDescent="0.4"/>
  <cols>
    <col min="1" max="1" width="9.15234375" customWidth="1"/>
    <col min="2" max="2" width="74" style="394" bestFit="1" customWidth="1"/>
    <col min="3" max="3" width="13.3046875" style="394" customWidth="1"/>
    <col min="4" max="4" width="13" style="394" customWidth="1"/>
    <col min="5" max="5" width="28.3046875" style="394" bestFit="1" customWidth="1"/>
    <col min="6" max="6" width="28" style="394" bestFit="1" customWidth="1"/>
    <col min="7" max="7" width="67.3046875" style="394" customWidth="1"/>
    <col min="8" max="8" width="9.15234375" style="394" customWidth="1"/>
    <col min="9" max="11" width="9.15234375" hidden="1" customWidth="1"/>
    <col min="12" max="43" width="0" hidden="1" customWidth="1"/>
    <col min="44" max="16384" width="9.15234375" hidden="1"/>
  </cols>
  <sheetData>
    <row r="1" spans="1:4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4">
      <c r="A3" s="1"/>
      <c r="B3" s="354" t="s">
        <v>449</v>
      </c>
      <c r="C3" s="57"/>
      <c r="D3" s="57"/>
      <c r="E3" s="1"/>
      <c r="F3" s="1"/>
      <c r="G3" s="5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5.9" x14ac:dyDescent="0.4">
      <c r="A4" s="1"/>
      <c r="B4" s="355"/>
      <c r="C4" s="57"/>
      <c r="D4" s="57"/>
      <c r="E4" s="1"/>
      <c r="F4" s="493" t="s">
        <v>129</v>
      </c>
      <c r="G4" s="202" t="s">
        <v>350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4">
      <c r="A5" s="1"/>
      <c r="B5" s="583" t="s">
        <v>450</v>
      </c>
      <c r="C5" s="585" t="s">
        <v>392</v>
      </c>
      <c r="D5" s="585" t="s">
        <v>451</v>
      </c>
      <c r="E5" s="585" t="s">
        <v>393</v>
      </c>
      <c r="F5" s="583" t="s">
        <v>394</v>
      </c>
      <c r="G5" s="583" t="s">
        <v>395</v>
      </c>
      <c r="H5" s="6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4">
      <c r="A6" s="1"/>
      <c r="B6" s="584"/>
      <c r="C6" s="586"/>
      <c r="D6" s="586"/>
      <c r="E6" s="586"/>
      <c r="F6" s="584"/>
      <c r="G6" s="584"/>
      <c r="H6" s="6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4">
      <c r="A7" s="1"/>
      <c r="B7" s="395" t="s">
        <v>396</v>
      </c>
      <c r="C7" s="356"/>
      <c r="D7" s="356"/>
      <c r="E7" s="357"/>
      <c r="F7" s="398"/>
      <c r="G7" s="399"/>
      <c r="H7" s="6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4">
      <c r="A8" s="1"/>
      <c r="B8" s="358"/>
      <c r="C8" s="458"/>
      <c r="D8" s="519"/>
      <c r="E8" s="359"/>
      <c r="F8" s="400" t="s">
        <v>397</v>
      </c>
      <c r="G8" s="401"/>
      <c r="H8" s="6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4">
      <c r="A9" s="1"/>
      <c r="B9" s="360" t="s">
        <v>163</v>
      </c>
      <c r="C9" s="520"/>
      <c r="D9" s="521"/>
      <c r="E9" s="357"/>
      <c r="F9" s="398" t="s">
        <v>398</v>
      </c>
      <c r="G9" s="399"/>
      <c r="H9" s="6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4">
      <c r="A10" s="1"/>
      <c r="B10" s="358"/>
      <c r="C10" s="520"/>
      <c r="D10" s="521"/>
      <c r="E10" s="357"/>
      <c r="F10" s="398" t="s">
        <v>399</v>
      </c>
      <c r="G10" s="399"/>
      <c r="H10" s="6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4">
      <c r="A11" s="1"/>
      <c r="B11" s="361"/>
      <c r="C11" s="522"/>
      <c r="D11" s="523"/>
      <c r="E11" s="362"/>
      <c r="F11" s="402" t="s">
        <v>400</v>
      </c>
      <c r="G11" s="403" t="s">
        <v>401</v>
      </c>
      <c r="H11" s="6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4">
      <c r="A12" s="1"/>
      <c r="B12" s="363"/>
      <c r="C12" s="458"/>
      <c r="D12" s="519"/>
      <c r="E12" s="357"/>
      <c r="F12" s="398" t="s">
        <v>402</v>
      </c>
      <c r="G12" s="399" t="s">
        <v>403</v>
      </c>
      <c r="H12" s="6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4">
      <c r="A13" s="1"/>
      <c r="B13" s="363" t="s">
        <v>132</v>
      </c>
      <c r="C13" s="524"/>
      <c r="D13" s="525"/>
      <c r="E13" s="357"/>
      <c r="F13" s="404" t="s">
        <v>404</v>
      </c>
      <c r="G13" s="399" t="s">
        <v>405</v>
      </c>
      <c r="H13" s="67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4">
      <c r="A14" s="1"/>
      <c r="B14" s="364"/>
      <c r="C14" s="524"/>
      <c r="D14" s="525"/>
      <c r="E14" s="357"/>
      <c r="F14" s="404" t="s">
        <v>406</v>
      </c>
      <c r="G14" s="399" t="s">
        <v>405</v>
      </c>
      <c r="H14" s="6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4">
      <c r="A15" s="1"/>
      <c r="B15" s="365"/>
      <c r="C15" s="526"/>
      <c r="D15" s="527"/>
      <c r="E15" s="362"/>
      <c r="F15" s="405" t="s">
        <v>407</v>
      </c>
      <c r="G15" s="403" t="s">
        <v>401</v>
      </c>
      <c r="H15" s="6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4">
      <c r="A16" s="1"/>
      <c r="B16" s="363"/>
      <c r="C16" s="458"/>
      <c r="D16" s="519"/>
      <c r="E16" s="357"/>
      <c r="F16" s="398" t="s">
        <v>408</v>
      </c>
      <c r="G16" s="399" t="s">
        <v>403</v>
      </c>
      <c r="H16" s="6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4">
      <c r="A17" s="1"/>
      <c r="B17" s="363" t="s">
        <v>133</v>
      </c>
      <c r="C17" s="524"/>
      <c r="D17" s="525"/>
      <c r="E17" s="357"/>
      <c r="F17" s="404" t="s">
        <v>409</v>
      </c>
      <c r="G17" s="399" t="s">
        <v>410</v>
      </c>
      <c r="H17" s="6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4">
      <c r="A18" s="1"/>
      <c r="B18" s="364"/>
      <c r="C18" s="524"/>
      <c r="D18" s="525"/>
      <c r="E18" s="357"/>
      <c r="F18" s="404" t="s">
        <v>411</v>
      </c>
      <c r="G18" s="399" t="s">
        <v>410</v>
      </c>
      <c r="H18" s="67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4">
      <c r="A19" s="1"/>
      <c r="B19" s="364"/>
      <c r="C19" s="524"/>
      <c r="D19" s="525"/>
      <c r="E19" s="357"/>
      <c r="F19" s="404" t="s">
        <v>412</v>
      </c>
      <c r="G19" s="399" t="s">
        <v>410</v>
      </c>
      <c r="H19" s="6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4">
      <c r="A20" s="1"/>
      <c r="B20" s="364"/>
      <c r="C20" s="524"/>
      <c r="D20" s="525"/>
      <c r="E20" s="357"/>
      <c r="F20" s="404" t="s">
        <v>413</v>
      </c>
      <c r="G20" s="399" t="s">
        <v>410</v>
      </c>
      <c r="H20" s="6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4">
      <c r="A21" s="1"/>
      <c r="B21" s="365"/>
      <c r="C21" s="526"/>
      <c r="D21" s="527"/>
      <c r="E21" s="362"/>
      <c r="F21" s="402" t="s">
        <v>407</v>
      </c>
      <c r="G21" s="403" t="s">
        <v>401</v>
      </c>
      <c r="H21" s="67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4">
      <c r="A22" s="1"/>
      <c r="B22" s="366"/>
      <c r="C22" s="459"/>
      <c r="D22" s="459"/>
      <c r="E22" s="367"/>
      <c r="F22" s="406"/>
      <c r="G22" s="407"/>
      <c r="H22" s="6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4">
      <c r="A23" s="1"/>
      <c r="B23" s="368" t="s">
        <v>134</v>
      </c>
      <c r="C23" s="460">
        <f>SUM(C8:C22)</f>
        <v>0</v>
      </c>
      <c r="D23" s="460">
        <f>SUM(D8:D22)</f>
        <v>0</v>
      </c>
      <c r="E23" s="357"/>
      <c r="F23" s="398"/>
      <c r="G23" s="399"/>
      <c r="H23" s="6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4">
      <c r="A24" s="1"/>
      <c r="B24" s="369" t="s">
        <v>414</v>
      </c>
      <c r="C24" s="461"/>
      <c r="D24" s="462"/>
      <c r="E24" s="370"/>
      <c r="F24" s="408" t="s">
        <v>415</v>
      </c>
      <c r="G24" s="409"/>
      <c r="H24" s="6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4">
      <c r="A25" s="1"/>
      <c r="B25" s="371"/>
      <c r="C25" s="522"/>
      <c r="D25" s="523"/>
      <c r="E25" s="362"/>
      <c r="F25" s="402" t="s">
        <v>416</v>
      </c>
      <c r="G25" s="403" t="s">
        <v>401</v>
      </c>
      <c r="H25" s="6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4">
      <c r="A26" s="1"/>
      <c r="B26" s="364"/>
      <c r="C26" s="528"/>
      <c r="D26" s="529"/>
      <c r="E26" s="357"/>
      <c r="F26" s="410" t="s">
        <v>417</v>
      </c>
      <c r="G26" s="399"/>
      <c r="H26" s="6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4">
      <c r="A27" s="1"/>
      <c r="B27" s="364"/>
      <c r="C27" s="530"/>
      <c r="D27" s="531"/>
      <c r="E27" s="357"/>
      <c r="F27" s="398" t="s">
        <v>418</v>
      </c>
      <c r="G27" s="399"/>
      <c r="H27" s="6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4">
      <c r="A28" s="1"/>
      <c r="B28" s="363" t="s">
        <v>419</v>
      </c>
      <c r="C28" s="530"/>
      <c r="D28" s="531"/>
      <c r="E28" s="357"/>
      <c r="F28" s="398" t="s">
        <v>420</v>
      </c>
      <c r="G28" s="399"/>
      <c r="H28" s="6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4">
      <c r="A29" s="1"/>
      <c r="B29" s="364"/>
      <c r="C29" s="530"/>
      <c r="D29" s="531"/>
      <c r="E29" s="357"/>
      <c r="F29" s="398" t="s">
        <v>421</v>
      </c>
      <c r="G29" s="399"/>
      <c r="H29" s="6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4">
      <c r="A30" s="1"/>
      <c r="B30" s="366"/>
      <c r="C30" s="520"/>
      <c r="D30" s="521"/>
      <c r="E30" s="367"/>
      <c r="F30" s="406" t="s">
        <v>407</v>
      </c>
      <c r="G30" s="411" t="s">
        <v>401</v>
      </c>
      <c r="H30" s="6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13.5" customHeight="1" x14ac:dyDescent="0.4">
      <c r="A31" s="1"/>
      <c r="B31" s="372"/>
      <c r="C31" s="532"/>
      <c r="D31" s="533"/>
      <c r="E31" s="373"/>
      <c r="F31" s="412" t="s">
        <v>400</v>
      </c>
      <c r="G31" s="413" t="s">
        <v>401</v>
      </c>
      <c r="H31" s="6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.5" hidden="1" customHeight="1" x14ac:dyDescent="0.4">
      <c r="A32" s="1"/>
      <c r="B32" s="374" t="s">
        <v>422</v>
      </c>
      <c r="C32" s="463"/>
      <c r="D32" s="463"/>
      <c r="E32" s="375"/>
      <c r="F32" s="414" t="s">
        <v>400</v>
      </c>
      <c r="G32" s="415" t="s">
        <v>401</v>
      </c>
      <c r="H32" s="6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24.75" hidden="1" customHeight="1" x14ac:dyDescent="0.4">
      <c r="A33" s="1"/>
      <c r="B33" s="376"/>
      <c r="C33" s="534"/>
      <c r="D33" s="534"/>
      <c r="E33" s="373"/>
      <c r="F33" s="412" t="s">
        <v>407</v>
      </c>
      <c r="G33" s="403" t="s">
        <v>401</v>
      </c>
      <c r="H33" s="6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5.25" hidden="1" customHeight="1" x14ac:dyDescent="0.4">
      <c r="A34" s="1"/>
      <c r="B34" s="376"/>
      <c r="C34" s="535"/>
      <c r="D34" s="535"/>
      <c r="E34" s="373"/>
      <c r="F34" s="412"/>
      <c r="G34" s="407"/>
      <c r="H34" s="6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4">
      <c r="A35" s="1"/>
      <c r="B35" s="396" t="s">
        <v>423</v>
      </c>
      <c r="C35" s="464">
        <f>SUM(C23:C34)</f>
        <v>0</v>
      </c>
      <c r="D35" s="464">
        <f>SUM(D23:D34)</f>
        <v>0</v>
      </c>
      <c r="E35" s="377"/>
      <c r="F35" s="416"/>
      <c r="G35" s="417"/>
      <c r="H35" s="6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4">
      <c r="A36" s="1"/>
      <c r="B36" s="395" t="s">
        <v>424</v>
      </c>
      <c r="C36" s="465"/>
      <c r="D36" s="465"/>
      <c r="E36" s="377"/>
      <c r="F36" s="416"/>
      <c r="G36" s="417"/>
      <c r="H36" s="6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4">
      <c r="A37" s="1"/>
      <c r="B37" s="378" t="s">
        <v>137</v>
      </c>
      <c r="C37" s="464">
        <f>SUM(C38:C47)</f>
        <v>0</v>
      </c>
      <c r="D37" s="464">
        <f>SUM(D38:D47)</f>
        <v>0</v>
      </c>
      <c r="E37" s="377"/>
      <c r="F37" s="416"/>
      <c r="G37" s="417"/>
      <c r="H37" s="6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4">
      <c r="A38" s="1"/>
      <c r="B38" s="363" t="s">
        <v>53</v>
      </c>
      <c r="C38" s="461"/>
      <c r="D38" s="462"/>
      <c r="E38" s="357"/>
      <c r="F38" s="418" t="s">
        <v>425</v>
      </c>
      <c r="G38" s="399"/>
      <c r="H38" s="6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4">
      <c r="A39" s="1"/>
      <c r="B39" s="371"/>
      <c r="C39" s="522"/>
      <c r="D39" s="523"/>
      <c r="E39" s="362"/>
      <c r="F39" s="419" t="s">
        <v>407</v>
      </c>
      <c r="G39" s="403" t="s">
        <v>401</v>
      </c>
      <c r="H39" s="6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4">
      <c r="A40" s="1"/>
      <c r="B40" s="379" t="s">
        <v>54</v>
      </c>
      <c r="C40" s="536"/>
      <c r="D40" s="537"/>
      <c r="E40" s="359"/>
      <c r="F40" s="420" t="s">
        <v>426</v>
      </c>
      <c r="G40" s="401"/>
      <c r="H40" s="6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4">
      <c r="A41" s="1"/>
      <c r="B41" s="364"/>
      <c r="C41" s="538"/>
      <c r="D41" s="539"/>
      <c r="E41" s="357"/>
      <c r="F41" s="421" t="s">
        <v>427</v>
      </c>
      <c r="G41" s="399"/>
      <c r="H41" s="6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4">
      <c r="A42" s="1"/>
      <c r="B42" s="371"/>
      <c r="C42" s="540"/>
      <c r="D42" s="541"/>
      <c r="E42" s="362"/>
      <c r="F42" s="422" t="s">
        <v>407</v>
      </c>
      <c r="G42" s="403" t="s">
        <v>401</v>
      </c>
      <c r="H42" s="6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4">
      <c r="A43" s="1"/>
      <c r="B43" s="379" t="s">
        <v>138</v>
      </c>
      <c r="C43" s="542"/>
      <c r="D43" s="543"/>
      <c r="E43" s="357"/>
      <c r="F43" s="421" t="s">
        <v>428</v>
      </c>
      <c r="G43" s="399"/>
      <c r="H43" s="6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4">
      <c r="A44" s="1"/>
      <c r="B44" s="371"/>
      <c r="C44" s="540"/>
      <c r="D44" s="541"/>
      <c r="E44" s="362"/>
      <c r="F44" s="422" t="s">
        <v>407</v>
      </c>
      <c r="G44" s="403" t="s">
        <v>401</v>
      </c>
      <c r="H44" s="6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4">
      <c r="A45" s="1"/>
      <c r="B45" s="379" t="s">
        <v>429</v>
      </c>
      <c r="C45" s="536"/>
      <c r="D45" s="537"/>
      <c r="E45" s="357"/>
      <c r="F45" s="420" t="s">
        <v>425</v>
      </c>
      <c r="G45" s="401"/>
      <c r="H45" s="6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5" customHeight="1" x14ac:dyDescent="0.4">
      <c r="A46" s="1"/>
      <c r="B46" s="380"/>
      <c r="C46" s="544"/>
      <c r="D46" s="545"/>
      <c r="E46" s="373"/>
      <c r="F46" s="423" t="s">
        <v>407</v>
      </c>
      <c r="G46" s="403" t="s">
        <v>401</v>
      </c>
      <c r="H46" s="6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.5" hidden="1" customHeight="1" x14ac:dyDescent="0.4">
      <c r="A47" s="1"/>
      <c r="B47" s="380"/>
      <c r="C47" s="546"/>
      <c r="D47" s="546"/>
      <c r="E47" s="373"/>
      <c r="F47" s="423"/>
      <c r="G47" s="407"/>
      <c r="H47" s="6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4">
      <c r="A48" s="1"/>
      <c r="B48" s="378" t="s">
        <v>139</v>
      </c>
      <c r="C48" s="464">
        <f>SUM(C49:C60)</f>
        <v>0</v>
      </c>
      <c r="D48" s="464">
        <f>SUM(D49:D60)</f>
        <v>0</v>
      </c>
      <c r="E48" s="377"/>
      <c r="F48" s="416"/>
      <c r="G48" s="417"/>
      <c r="H48" s="6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4">
      <c r="A49" s="1"/>
      <c r="B49" s="369" t="s">
        <v>53</v>
      </c>
      <c r="C49" s="461"/>
      <c r="D49" s="462"/>
      <c r="E49" s="370"/>
      <c r="F49" s="408" t="s">
        <v>430</v>
      </c>
      <c r="G49" s="409"/>
      <c r="H49" s="6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4">
      <c r="A50" s="1"/>
      <c r="B50" s="364"/>
      <c r="C50" s="530"/>
      <c r="D50" s="531"/>
      <c r="E50" s="357"/>
      <c r="F50" s="398" t="s">
        <v>431</v>
      </c>
      <c r="G50" s="399"/>
      <c r="H50" s="6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4">
      <c r="A51" s="1"/>
      <c r="B51" s="364"/>
      <c r="C51" s="530"/>
      <c r="D51" s="531"/>
      <c r="E51" s="357"/>
      <c r="F51" s="398" t="s">
        <v>432</v>
      </c>
      <c r="G51" s="399"/>
      <c r="H51" s="6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4">
      <c r="A52" s="1"/>
      <c r="B52" s="371"/>
      <c r="C52" s="522"/>
      <c r="D52" s="523"/>
      <c r="E52" s="362"/>
      <c r="F52" s="402" t="s">
        <v>400</v>
      </c>
      <c r="G52" s="403" t="s">
        <v>401</v>
      </c>
      <c r="H52" s="6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4">
      <c r="A53" s="1"/>
      <c r="B53" s="379" t="s">
        <v>54</v>
      </c>
      <c r="C53" s="542"/>
      <c r="D53" s="543"/>
      <c r="E53" s="359"/>
      <c r="F53" s="400" t="s">
        <v>430</v>
      </c>
      <c r="G53" s="401"/>
      <c r="H53" s="6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4">
      <c r="A54" s="1"/>
      <c r="B54" s="371"/>
      <c r="C54" s="540"/>
      <c r="D54" s="541"/>
      <c r="E54" s="362"/>
      <c r="F54" s="402" t="s">
        <v>400</v>
      </c>
      <c r="G54" s="403" t="s">
        <v>401</v>
      </c>
      <c r="H54" s="6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4">
      <c r="A55" s="1"/>
      <c r="B55" s="381" t="s">
        <v>138</v>
      </c>
      <c r="C55" s="547"/>
      <c r="D55" s="548"/>
      <c r="E55" s="382"/>
      <c r="F55" s="424" t="s">
        <v>433</v>
      </c>
      <c r="G55" s="425"/>
      <c r="H55" s="6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4">
      <c r="A56" s="1"/>
      <c r="B56" s="383" t="s">
        <v>429</v>
      </c>
      <c r="C56" s="547"/>
      <c r="D56" s="548"/>
      <c r="E56" s="384"/>
      <c r="F56" s="426" t="s">
        <v>400</v>
      </c>
      <c r="G56" s="427" t="s">
        <v>401</v>
      </c>
      <c r="H56" s="6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4">
      <c r="A57" s="1"/>
      <c r="B57" s="383" t="s">
        <v>358</v>
      </c>
      <c r="C57" s="547"/>
      <c r="D57" s="548"/>
      <c r="E57" s="384"/>
      <c r="F57" s="426" t="s">
        <v>400</v>
      </c>
      <c r="G57" s="427" t="s">
        <v>401</v>
      </c>
      <c r="H57" s="6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4">
      <c r="A58" s="1"/>
      <c r="B58" s="381" t="s">
        <v>141</v>
      </c>
      <c r="C58" s="547"/>
      <c r="D58" s="548"/>
      <c r="E58" s="382"/>
      <c r="F58" s="424" t="s">
        <v>434</v>
      </c>
      <c r="G58" s="425"/>
      <c r="H58" s="6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4">
      <c r="A59" s="1"/>
      <c r="B59" s="385" t="s">
        <v>142</v>
      </c>
      <c r="C59" s="549"/>
      <c r="D59" s="550"/>
      <c r="E59" s="357"/>
      <c r="F59" s="398" t="s">
        <v>435</v>
      </c>
      <c r="G59" s="399"/>
      <c r="H59" s="6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4">
      <c r="A60" s="1"/>
      <c r="B60" s="385"/>
      <c r="C60" s="532"/>
      <c r="D60" s="533"/>
      <c r="E60" s="357"/>
      <c r="F60" s="398"/>
      <c r="G60" s="399"/>
      <c r="H60" s="6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4">
      <c r="A61" s="1"/>
      <c r="B61" s="396" t="s">
        <v>436</v>
      </c>
      <c r="C61" s="464">
        <f>C37+C48</f>
        <v>0</v>
      </c>
      <c r="D61" s="464">
        <f>D37+D48</f>
        <v>0</v>
      </c>
      <c r="E61" s="377"/>
      <c r="F61" s="416"/>
      <c r="G61" s="417"/>
      <c r="H61" s="6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4">
      <c r="A62" s="1"/>
      <c r="B62" s="395" t="s">
        <v>437</v>
      </c>
      <c r="C62" s="468"/>
      <c r="D62" s="469"/>
      <c r="E62" s="377"/>
      <c r="F62" s="416"/>
      <c r="G62" s="417"/>
      <c r="H62" s="6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4">
      <c r="A63" s="1"/>
      <c r="B63" s="378" t="s">
        <v>139</v>
      </c>
      <c r="C63" s="464">
        <f>SUM(C64:C73)</f>
        <v>0</v>
      </c>
      <c r="D63" s="464">
        <f>SUM(D64:D73)</f>
        <v>0</v>
      </c>
      <c r="E63" s="377"/>
      <c r="F63" s="416"/>
      <c r="G63" s="417"/>
      <c r="H63" s="6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4">
      <c r="A64" s="1"/>
      <c r="B64" s="369" t="s">
        <v>71</v>
      </c>
      <c r="C64" s="461"/>
      <c r="D64" s="462"/>
      <c r="E64" s="370"/>
      <c r="F64" s="408" t="s">
        <v>438</v>
      </c>
      <c r="G64" s="409"/>
      <c r="H64" s="6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4">
      <c r="A65" s="1"/>
      <c r="B65" s="365"/>
      <c r="C65" s="522"/>
      <c r="D65" s="523"/>
      <c r="E65" s="362"/>
      <c r="F65" s="402" t="s">
        <v>400</v>
      </c>
      <c r="G65" s="428" t="s">
        <v>401</v>
      </c>
      <c r="H65" s="6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4">
      <c r="A66" s="1"/>
      <c r="B66" s="379" t="s">
        <v>439</v>
      </c>
      <c r="C66" s="542"/>
      <c r="D66" s="543"/>
      <c r="E66" s="359"/>
      <c r="F66" s="400" t="s">
        <v>440</v>
      </c>
      <c r="G66" s="401"/>
      <c r="H66" s="6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4">
      <c r="A67" s="1"/>
      <c r="B67" s="371"/>
      <c r="C67" s="540"/>
      <c r="D67" s="541"/>
      <c r="E67" s="362"/>
      <c r="F67" s="402" t="s">
        <v>400</v>
      </c>
      <c r="G67" s="428" t="s">
        <v>401</v>
      </c>
      <c r="H67" s="6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4">
      <c r="A68" s="1"/>
      <c r="B68" s="381" t="s">
        <v>144</v>
      </c>
      <c r="C68" s="547"/>
      <c r="D68" s="548"/>
      <c r="E68" s="382"/>
      <c r="F68" s="424" t="s">
        <v>440</v>
      </c>
      <c r="G68" s="425"/>
      <c r="H68" s="6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4">
      <c r="A69" s="1"/>
      <c r="B69" s="381" t="s">
        <v>441</v>
      </c>
      <c r="C69" s="547"/>
      <c r="D69" s="548"/>
      <c r="E69" s="382"/>
      <c r="F69" s="424"/>
      <c r="G69" s="425"/>
      <c r="H69" s="6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4">
      <c r="A70" s="1"/>
      <c r="B70" s="363" t="s">
        <v>145</v>
      </c>
      <c r="C70" s="551"/>
      <c r="D70" s="552"/>
      <c r="E70" s="386"/>
      <c r="F70" s="398" t="s">
        <v>442</v>
      </c>
      <c r="G70" s="399"/>
      <c r="H70" s="6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4">
      <c r="A71" s="1"/>
      <c r="B71" s="364"/>
      <c r="C71" s="530"/>
      <c r="D71" s="531"/>
      <c r="E71" s="386"/>
      <c r="F71" s="398" t="s">
        <v>443</v>
      </c>
      <c r="G71" s="399"/>
      <c r="H71" s="6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4">
      <c r="A72" s="1"/>
      <c r="B72" s="380"/>
      <c r="C72" s="532"/>
      <c r="D72" s="533"/>
      <c r="E72" s="387"/>
      <c r="F72" s="412" t="s">
        <v>400</v>
      </c>
      <c r="G72" s="429" t="s">
        <v>401</v>
      </c>
      <c r="H72" s="6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0.75" customHeight="1" x14ac:dyDescent="0.4">
      <c r="A73" s="1"/>
      <c r="B73" s="388"/>
      <c r="C73" s="466"/>
      <c r="D73" s="466"/>
      <c r="E73" s="389"/>
      <c r="F73" s="406"/>
      <c r="G73" s="407"/>
      <c r="H73" s="6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5" customHeight="1" x14ac:dyDescent="0.4">
      <c r="A74" s="1"/>
      <c r="B74" s="368" t="s">
        <v>137</v>
      </c>
      <c r="C74" s="460">
        <f>SUM(C75:C82)</f>
        <v>0</v>
      </c>
      <c r="D74" s="460">
        <f>SUM(D75:D82)</f>
        <v>0</v>
      </c>
      <c r="E74" s="357"/>
      <c r="F74" s="398"/>
      <c r="G74" s="399"/>
      <c r="H74" s="6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4">
      <c r="A75" s="1"/>
      <c r="B75" s="369" t="s">
        <v>71</v>
      </c>
      <c r="C75" s="461"/>
      <c r="D75" s="462"/>
      <c r="E75" s="370"/>
      <c r="F75" s="408" t="s">
        <v>444</v>
      </c>
      <c r="G75" s="409"/>
      <c r="H75" s="6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4">
      <c r="A76" s="1"/>
      <c r="B76" s="365"/>
      <c r="C76" s="522"/>
      <c r="D76" s="523"/>
      <c r="E76" s="362"/>
      <c r="F76" s="402" t="s">
        <v>407</v>
      </c>
      <c r="G76" s="428" t="s">
        <v>401</v>
      </c>
      <c r="H76" s="6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4">
      <c r="A77" s="1"/>
      <c r="B77" s="379" t="s">
        <v>146</v>
      </c>
      <c r="C77" s="542"/>
      <c r="D77" s="543"/>
      <c r="E77" s="359"/>
      <c r="F77" s="400" t="s">
        <v>445</v>
      </c>
      <c r="G77" s="401"/>
      <c r="H77" s="6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4">
      <c r="A78" s="1"/>
      <c r="B78" s="365"/>
      <c r="C78" s="540"/>
      <c r="D78" s="541"/>
      <c r="E78" s="362"/>
      <c r="F78" s="402" t="s">
        <v>407</v>
      </c>
      <c r="G78" s="428" t="s">
        <v>401</v>
      </c>
      <c r="H78" s="6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4">
      <c r="A79" s="1"/>
      <c r="B79" s="383" t="s">
        <v>142</v>
      </c>
      <c r="C79" s="547"/>
      <c r="D79" s="548"/>
      <c r="E79" s="384"/>
      <c r="F79" s="426" t="s">
        <v>407</v>
      </c>
      <c r="G79" s="428" t="s">
        <v>401</v>
      </c>
      <c r="H79" s="6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4">
      <c r="A80" s="1"/>
      <c r="B80" s="383" t="s">
        <v>147</v>
      </c>
      <c r="C80" s="547"/>
      <c r="D80" s="548"/>
      <c r="E80" s="384"/>
      <c r="F80" s="426" t="s">
        <v>407</v>
      </c>
      <c r="G80" s="428" t="s">
        <v>401</v>
      </c>
      <c r="H80" s="6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x14ac:dyDescent="0.4">
      <c r="A81" s="1"/>
      <c r="B81" s="390" t="s">
        <v>145</v>
      </c>
      <c r="C81" s="549"/>
      <c r="D81" s="550"/>
      <c r="E81" s="367"/>
      <c r="F81" s="406" t="s">
        <v>407</v>
      </c>
      <c r="G81" s="428" t="s">
        <v>401</v>
      </c>
      <c r="H81" s="6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x14ac:dyDescent="0.4">
      <c r="A82" s="1"/>
      <c r="B82" s="390"/>
      <c r="C82" s="532"/>
      <c r="D82" s="533"/>
      <c r="E82" s="367"/>
      <c r="F82" s="406"/>
      <c r="G82" s="407"/>
      <c r="H82" s="6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21" customHeight="1" x14ac:dyDescent="0.4">
      <c r="A83" s="1"/>
      <c r="B83" s="397" t="s">
        <v>446</v>
      </c>
      <c r="C83" s="464">
        <f>C63+C74</f>
        <v>0</v>
      </c>
      <c r="D83" s="464">
        <f>D63+D74</f>
        <v>0</v>
      </c>
      <c r="E83" s="377"/>
      <c r="F83" s="416"/>
      <c r="G83" s="417"/>
      <c r="H83" s="6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18.75" customHeight="1" x14ac:dyDescent="0.4">
      <c r="A84" s="1"/>
      <c r="B84" s="397" t="s">
        <v>447</v>
      </c>
      <c r="C84" s="464">
        <f>C35+C61+C83</f>
        <v>0</v>
      </c>
      <c r="D84" s="464">
        <f>D35+D61+D83</f>
        <v>0</v>
      </c>
      <c r="E84" s="377"/>
      <c r="F84" s="416"/>
      <c r="G84" s="417"/>
      <c r="H84" s="6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x14ac:dyDescent="0.4">
      <c r="A85" s="1"/>
      <c r="B85" s="391" t="s">
        <v>448</v>
      </c>
      <c r="C85" s="461"/>
      <c r="D85" s="462"/>
      <c r="E85" s="357"/>
      <c r="F85" s="398"/>
      <c r="G85" s="399"/>
      <c r="H85" s="6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4">
      <c r="A86" s="1"/>
      <c r="B86" s="392" t="s">
        <v>151</v>
      </c>
      <c r="C86" s="467"/>
      <c r="D86" s="553"/>
      <c r="E86" s="393"/>
      <c r="F86" s="430"/>
      <c r="G86" s="431"/>
      <c r="H86" s="6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4">
      <c r="A87" s="1"/>
      <c r="B87" s="396" t="s">
        <v>152</v>
      </c>
      <c r="C87" s="464">
        <f>SUM(C84:C86)</f>
        <v>0</v>
      </c>
      <c r="D87" s="464">
        <f>SUM(D84:D86)</f>
        <v>0</v>
      </c>
      <c r="E87" s="377"/>
      <c r="F87" s="416"/>
      <c r="G87" s="417"/>
      <c r="H87" s="6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x14ac:dyDescent="0.4">
      <c r="A88" s="1"/>
      <c r="B88" s="67"/>
      <c r="C88" s="67"/>
      <c r="D88" s="67"/>
      <c r="E88" s="67"/>
      <c r="F88" s="67"/>
      <c r="G88" s="67"/>
      <c r="H88" s="6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x14ac:dyDescent="0.4">
      <c r="A89" s="1"/>
      <c r="B89" s="470" t="s">
        <v>457</v>
      </c>
      <c r="C89" s="471"/>
      <c r="D89" s="471"/>
      <c r="E89" s="471"/>
      <c r="F89" s="471"/>
      <c r="G89" s="471"/>
      <c r="H89" s="6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x14ac:dyDescent="0.4">
      <c r="A90" s="1"/>
      <c r="B90" s="67"/>
      <c r="C90" s="67"/>
      <c r="D90" s="67"/>
      <c r="E90" s="67"/>
      <c r="F90" s="67"/>
      <c r="G90" s="67"/>
      <c r="H90" s="6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idden="1" x14ac:dyDescent="0.4">
      <c r="A91" s="1"/>
      <c r="B91" s="67"/>
      <c r="C91" s="67"/>
      <c r="D91" s="67"/>
      <c r="E91" s="67"/>
      <c r="F91" s="67"/>
      <c r="G91" s="67"/>
      <c r="H91" s="6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idden="1" x14ac:dyDescent="0.4">
      <c r="A92" s="1"/>
      <c r="B92" s="67"/>
      <c r="C92" s="67"/>
      <c r="D92" s="67"/>
      <c r="E92" s="67"/>
      <c r="F92" s="67"/>
      <c r="G92" s="67"/>
      <c r="H92" s="6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idden="1" x14ac:dyDescent="0.4">
      <c r="A93" s="1"/>
      <c r="B93" s="67"/>
      <c r="C93" s="67"/>
      <c r="D93" s="67"/>
      <c r="E93" s="67"/>
      <c r="F93" s="67"/>
      <c r="G93" s="67"/>
      <c r="H93" s="6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idden="1" x14ac:dyDescent="0.4">
      <c r="A94" s="1"/>
      <c r="B94" s="67"/>
      <c r="C94" s="67"/>
      <c r="D94" s="67"/>
      <c r="E94" s="67"/>
      <c r="F94" s="67"/>
      <c r="G94" s="67"/>
      <c r="H94" s="6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idden="1" x14ac:dyDescent="0.4">
      <c r="A95" s="1"/>
      <c r="B95" s="67"/>
      <c r="C95" s="67"/>
      <c r="D95" s="67"/>
      <c r="E95" s="67"/>
      <c r="F95" s="67"/>
      <c r="G95" s="67"/>
      <c r="H95" s="6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idden="1" x14ac:dyDescent="0.4">
      <c r="A96" s="1"/>
      <c r="B96" s="67"/>
      <c r="C96" s="67"/>
      <c r="D96" s="67"/>
      <c r="E96" s="67"/>
      <c r="F96" s="67"/>
      <c r="G96" s="67"/>
      <c r="H96" s="6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idden="1" x14ac:dyDescent="0.4">
      <c r="A97" s="1"/>
      <c r="B97" s="67"/>
      <c r="C97" s="67"/>
      <c r="D97" s="67"/>
      <c r="E97" s="67"/>
      <c r="F97" s="67"/>
      <c r="G97" s="67"/>
      <c r="H97" s="6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idden="1" x14ac:dyDescent="0.4">
      <c r="A98" s="1"/>
      <c r="B98" s="67"/>
      <c r="C98" s="67"/>
      <c r="D98" s="67"/>
      <c r="E98" s="67"/>
      <c r="F98" s="67"/>
      <c r="G98" s="67"/>
      <c r="H98" s="6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idden="1" x14ac:dyDescent="0.4">
      <c r="A99" s="1"/>
      <c r="B99" s="67"/>
      <c r="C99" s="67"/>
      <c r="D99" s="67"/>
      <c r="E99" s="67"/>
      <c r="F99" s="67"/>
      <c r="G99" s="67"/>
      <c r="H99" s="6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idden="1" x14ac:dyDescent="0.4">
      <c r="A100" s="1"/>
      <c r="B100" s="67"/>
      <c r="C100" s="67"/>
      <c r="D100" s="67"/>
      <c r="E100" s="67"/>
      <c r="F100" s="67"/>
      <c r="G100" s="67"/>
      <c r="H100" s="6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idden="1" x14ac:dyDescent="0.4">
      <c r="A101" s="1"/>
      <c r="B101" s="67"/>
      <c r="C101" s="67"/>
      <c r="D101" s="67"/>
      <c r="E101" s="67"/>
      <c r="F101" s="67"/>
      <c r="G101" s="67"/>
      <c r="H101" s="6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idden="1" x14ac:dyDescent="0.4">
      <c r="A102" s="1"/>
      <c r="B102" s="67"/>
      <c r="C102" s="67"/>
      <c r="D102" s="67"/>
      <c r="E102" s="67"/>
      <c r="F102" s="67"/>
      <c r="G102" s="67"/>
      <c r="H102" s="6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idden="1" x14ac:dyDescent="0.4">
      <c r="A103" s="1"/>
      <c r="B103" s="67"/>
      <c r="C103" s="67"/>
      <c r="D103" s="67"/>
      <c r="E103" s="67"/>
      <c r="F103" s="67"/>
      <c r="G103" s="67"/>
      <c r="H103" s="6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idden="1" x14ac:dyDescent="0.4">
      <c r="A104" s="1"/>
      <c r="B104" s="67"/>
      <c r="C104" s="67"/>
      <c r="D104" s="67"/>
      <c r="E104" s="67"/>
      <c r="F104" s="67"/>
      <c r="G104" s="67"/>
      <c r="H104" s="6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idden="1" x14ac:dyDescent="0.4">
      <c r="A105" s="1"/>
      <c r="B105" s="67"/>
      <c r="C105" s="67"/>
      <c r="D105" s="67"/>
      <c r="E105" s="67"/>
      <c r="F105" s="67"/>
      <c r="G105" s="67"/>
      <c r="H105" s="6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idden="1" x14ac:dyDescent="0.4">
      <c r="A106" s="1"/>
      <c r="B106" s="67"/>
      <c r="C106" s="67"/>
      <c r="D106" s="67"/>
      <c r="E106" s="67"/>
      <c r="F106" s="67"/>
      <c r="G106" s="67"/>
      <c r="H106" s="6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idden="1" x14ac:dyDescent="0.4">
      <c r="A107" s="1"/>
      <c r="B107" s="67"/>
      <c r="C107" s="67"/>
      <c r="D107" s="67"/>
      <c r="E107" s="67"/>
      <c r="F107" s="67"/>
      <c r="G107" s="67"/>
      <c r="H107" s="6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idden="1" x14ac:dyDescent="0.4">
      <c r="A108" s="1"/>
      <c r="B108" s="67"/>
      <c r="C108" s="67"/>
      <c r="D108" s="67"/>
      <c r="E108" s="67"/>
      <c r="F108" s="67"/>
      <c r="G108" s="67"/>
      <c r="H108" s="6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idden="1" x14ac:dyDescent="0.4">
      <c r="A109" s="1"/>
      <c r="B109" s="67"/>
      <c r="C109" s="67"/>
      <c r="D109" s="67"/>
      <c r="E109" s="67"/>
      <c r="F109" s="67"/>
      <c r="G109" s="67"/>
      <c r="H109" s="6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idden="1" x14ac:dyDescent="0.4">
      <c r="A110" s="1"/>
      <c r="B110" s="67"/>
      <c r="C110" s="67"/>
      <c r="D110" s="67"/>
      <c r="E110" s="67"/>
      <c r="F110" s="67"/>
      <c r="G110" s="67"/>
      <c r="H110" s="6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idden="1" x14ac:dyDescent="0.4">
      <c r="A111" s="1"/>
      <c r="B111" s="67"/>
      <c r="C111" s="67"/>
      <c r="D111" s="67"/>
      <c r="E111" s="67"/>
      <c r="F111" s="67"/>
      <c r="G111" s="67"/>
      <c r="H111" s="6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idden="1" x14ac:dyDescent="0.4">
      <c r="A112" s="1"/>
      <c r="B112" s="67"/>
      <c r="C112" s="67"/>
      <c r="D112" s="67"/>
      <c r="E112" s="67"/>
      <c r="F112" s="67"/>
      <c r="G112" s="67"/>
      <c r="H112" s="6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idden="1" x14ac:dyDescent="0.4">
      <c r="A113" s="1"/>
      <c r="B113" s="67"/>
      <c r="C113" s="67"/>
      <c r="D113" s="67"/>
      <c r="E113" s="67"/>
      <c r="F113" s="67"/>
      <c r="G113" s="67"/>
      <c r="H113" s="6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idden="1" x14ac:dyDescent="0.4">
      <c r="A114" s="1"/>
      <c r="B114" s="67"/>
      <c r="C114" s="67"/>
      <c r="D114" s="67"/>
      <c r="E114" s="67"/>
      <c r="F114" s="67"/>
      <c r="G114" s="67"/>
      <c r="H114" s="6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idden="1" x14ac:dyDescent="0.4">
      <c r="A115" s="1"/>
      <c r="B115" s="67"/>
      <c r="C115" s="67"/>
      <c r="D115" s="67"/>
      <c r="E115" s="67"/>
      <c r="F115" s="67"/>
      <c r="G115" s="67"/>
      <c r="H115" s="6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idden="1" x14ac:dyDescent="0.4">
      <c r="A116" s="1"/>
      <c r="B116" s="67"/>
      <c r="C116" s="67"/>
      <c r="D116" s="67"/>
      <c r="E116" s="67"/>
      <c r="F116" s="67"/>
      <c r="G116" s="67"/>
      <c r="H116" s="6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idden="1" x14ac:dyDescent="0.4">
      <c r="A117" s="1"/>
      <c r="B117" s="67"/>
      <c r="C117" s="67"/>
      <c r="D117" s="67"/>
      <c r="E117" s="67"/>
      <c r="F117" s="67"/>
      <c r="G117" s="67"/>
      <c r="H117" s="6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idden="1" x14ac:dyDescent="0.4">
      <c r="A118" s="1"/>
      <c r="B118" s="67"/>
      <c r="C118" s="67"/>
      <c r="D118" s="67"/>
      <c r="E118" s="67"/>
      <c r="F118" s="67"/>
      <c r="G118" s="67"/>
      <c r="H118" s="6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idden="1" x14ac:dyDescent="0.4">
      <c r="A119" s="1"/>
      <c r="B119" s="67"/>
      <c r="C119" s="67"/>
      <c r="D119" s="67"/>
      <c r="E119" s="67"/>
      <c r="F119" s="67"/>
      <c r="G119" s="67"/>
      <c r="H119" s="6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idden="1" x14ac:dyDescent="0.4">
      <c r="A120" s="1"/>
      <c r="B120" s="67"/>
      <c r="C120" s="67"/>
      <c r="D120" s="67"/>
      <c r="E120" s="67"/>
      <c r="F120" s="67"/>
      <c r="G120" s="67"/>
      <c r="H120" s="6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idden="1" x14ac:dyDescent="0.4">
      <c r="A121" s="1"/>
      <c r="B121" s="67"/>
      <c r="C121" s="67"/>
      <c r="D121" s="67"/>
      <c r="E121" s="67"/>
      <c r="F121" s="67"/>
      <c r="G121" s="67"/>
      <c r="H121" s="6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idden="1" x14ac:dyDescent="0.4">
      <c r="A122" s="1"/>
      <c r="B122" s="67"/>
      <c r="C122" s="67"/>
      <c r="D122" s="67"/>
      <c r="E122" s="67"/>
      <c r="F122" s="67"/>
      <c r="G122" s="67"/>
      <c r="H122" s="6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idden="1" x14ac:dyDescent="0.4">
      <c r="A123" s="1"/>
      <c r="B123" s="67"/>
      <c r="C123" s="67"/>
      <c r="D123" s="67"/>
      <c r="E123" s="67"/>
      <c r="F123" s="67"/>
      <c r="G123" s="67"/>
      <c r="H123" s="6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idden="1" x14ac:dyDescent="0.4">
      <c r="A124" s="1"/>
      <c r="B124" s="67"/>
      <c r="C124" s="67"/>
      <c r="D124" s="67"/>
      <c r="E124" s="67"/>
      <c r="F124" s="67"/>
      <c r="G124" s="67"/>
      <c r="H124" s="6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idden="1" x14ac:dyDescent="0.4">
      <c r="A125" s="1"/>
      <c r="B125" s="67"/>
      <c r="C125" s="67"/>
      <c r="D125" s="67"/>
      <c r="E125" s="67"/>
      <c r="F125" s="67"/>
      <c r="G125" s="67"/>
      <c r="H125" s="6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idden="1" x14ac:dyDescent="0.4">
      <c r="A126" s="1"/>
      <c r="B126" s="67"/>
      <c r="C126" s="67"/>
      <c r="D126" s="67"/>
      <c r="E126" s="67"/>
      <c r="F126" s="67"/>
      <c r="G126" s="67"/>
      <c r="H126" s="6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idden="1" x14ac:dyDescent="0.4">
      <c r="A127" s="1"/>
      <c r="B127" s="67"/>
      <c r="C127" s="67"/>
      <c r="D127" s="67"/>
      <c r="E127" s="67"/>
      <c r="F127" s="67"/>
      <c r="G127" s="67"/>
      <c r="H127" s="6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idden="1" x14ac:dyDescent="0.4">
      <c r="A128" s="1"/>
      <c r="B128" s="67"/>
      <c r="C128" s="67"/>
      <c r="D128" s="67"/>
      <c r="E128" s="67"/>
      <c r="F128" s="67"/>
      <c r="G128" s="67"/>
      <c r="H128" s="6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idden="1" x14ac:dyDescent="0.4">
      <c r="A129" s="1"/>
      <c r="B129" s="67"/>
      <c r="C129" s="67"/>
      <c r="D129" s="67"/>
      <c r="E129" s="67"/>
      <c r="F129" s="67"/>
      <c r="G129" s="67"/>
      <c r="H129" s="6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idden="1" x14ac:dyDescent="0.4">
      <c r="A130" s="1"/>
      <c r="B130" s="67"/>
      <c r="C130" s="67"/>
      <c r="D130" s="67"/>
      <c r="E130" s="67"/>
      <c r="F130" s="67"/>
      <c r="G130" s="67"/>
      <c r="H130" s="6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idden="1" x14ac:dyDescent="0.4">
      <c r="A131" s="1"/>
      <c r="B131" s="67"/>
      <c r="C131" s="67"/>
      <c r="D131" s="67"/>
      <c r="E131" s="67"/>
      <c r="F131" s="67"/>
      <c r="G131" s="67"/>
      <c r="H131" s="6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idden="1" x14ac:dyDescent="0.4">
      <c r="A132" s="1"/>
      <c r="B132" s="67"/>
      <c r="C132" s="67"/>
      <c r="D132" s="67"/>
      <c r="E132" s="67"/>
      <c r="F132" s="67"/>
      <c r="G132" s="67"/>
      <c r="H132" s="6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idden="1" x14ac:dyDescent="0.4">
      <c r="A133" s="1"/>
      <c r="B133" s="67"/>
      <c r="C133" s="67"/>
      <c r="D133" s="67"/>
      <c r="E133" s="67"/>
      <c r="F133" s="67"/>
      <c r="G133" s="67"/>
      <c r="H133" s="6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idden="1" x14ac:dyDescent="0.4">
      <c r="A134" s="1"/>
      <c r="B134" s="67"/>
      <c r="C134" s="67"/>
      <c r="D134" s="67"/>
      <c r="E134" s="67"/>
      <c r="F134" s="67"/>
      <c r="G134" s="67"/>
      <c r="H134" s="6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idden="1" x14ac:dyDescent="0.4">
      <c r="A135" s="1"/>
      <c r="B135" s="67"/>
      <c r="C135" s="67"/>
      <c r="D135" s="67"/>
      <c r="E135" s="67"/>
      <c r="F135" s="67"/>
      <c r="G135" s="67"/>
      <c r="H135" s="6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idden="1" x14ac:dyDescent="0.4">
      <c r="A136" s="1"/>
      <c r="B136" s="67"/>
      <c r="C136" s="67"/>
      <c r="D136" s="67"/>
      <c r="E136" s="67"/>
      <c r="F136" s="67"/>
      <c r="G136" s="67"/>
      <c r="H136" s="6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idden="1" x14ac:dyDescent="0.4">
      <c r="A137" s="1"/>
      <c r="B137" s="67"/>
      <c r="C137" s="67"/>
      <c r="D137" s="67"/>
      <c r="E137" s="67"/>
      <c r="F137" s="67"/>
      <c r="G137" s="67"/>
      <c r="H137" s="6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idden="1" x14ac:dyDescent="0.4">
      <c r="A138" s="1"/>
      <c r="B138" s="67"/>
      <c r="C138" s="67"/>
      <c r="D138" s="67"/>
      <c r="E138" s="67"/>
      <c r="F138" s="67"/>
      <c r="G138" s="67"/>
      <c r="H138" s="6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idden="1" x14ac:dyDescent="0.4">
      <c r="A139" s="1"/>
      <c r="B139" s="67"/>
      <c r="C139" s="67"/>
      <c r="D139" s="67"/>
      <c r="E139" s="67"/>
      <c r="F139" s="67"/>
      <c r="G139" s="67"/>
      <c r="H139" s="6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idden="1" x14ac:dyDescent="0.4">
      <c r="A140" s="1"/>
      <c r="B140" s="67"/>
      <c r="C140" s="67"/>
      <c r="D140" s="67"/>
      <c r="E140" s="67"/>
      <c r="F140" s="67"/>
      <c r="G140" s="67"/>
      <c r="H140" s="6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idden="1" x14ac:dyDescent="0.4">
      <c r="A141" s="1"/>
      <c r="B141" s="67"/>
      <c r="C141" s="67"/>
      <c r="D141" s="67"/>
      <c r="E141" s="67"/>
      <c r="F141" s="67"/>
      <c r="G141" s="67"/>
      <c r="H141" s="6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idden="1" x14ac:dyDescent="0.4">
      <c r="A142" s="1"/>
      <c r="B142" s="67"/>
      <c r="C142" s="67"/>
      <c r="D142" s="67"/>
      <c r="E142" s="67"/>
      <c r="F142" s="67"/>
      <c r="G142" s="67"/>
      <c r="H142" s="6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idden="1" x14ac:dyDescent="0.4">
      <c r="A143" s="1"/>
      <c r="B143" s="67"/>
      <c r="C143" s="67"/>
      <c r="D143" s="67"/>
      <c r="E143" s="67"/>
      <c r="F143" s="67"/>
      <c r="G143" s="67"/>
      <c r="H143" s="6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idden="1" x14ac:dyDescent="0.4">
      <c r="A144" s="1"/>
      <c r="B144" s="67"/>
      <c r="C144" s="67"/>
      <c r="D144" s="67"/>
      <c r="E144" s="67"/>
      <c r="F144" s="67"/>
      <c r="G144" s="67"/>
      <c r="H144" s="6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idden="1" x14ac:dyDescent="0.4">
      <c r="A145" s="1"/>
      <c r="B145" s="67"/>
      <c r="C145" s="67"/>
      <c r="D145" s="67"/>
      <c r="E145" s="67"/>
      <c r="F145" s="67"/>
      <c r="G145" s="67"/>
      <c r="H145" s="6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idden="1" x14ac:dyDescent="0.4">
      <c r="A146" s="1"/>
      <c r="B146" s="67"/>
      <c r="C146" s="67"/>
      <c r="D146" s="67"/>
      <c r="E146" s="67"/>
      <c r="F146" s="67"/>
      <c r="G146" s="67"/>
      <c r="H146" s="6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idden="1" x14ac:dyDescent="0.4">
      <c r="A147" s="1"/>
      <c r="B147" s="67"/>
      <c r="C147" s="67"/>
      <c r="D147" s="67"/>
      <c r="E147" s="67"/>
      <c r="F147" s="67"/>
      <c r="G147" s="67"/>
      <c r="H147" s="6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idden="1" x14ac:dyDescent="0.4">
      <c r="A148" s="1"/>
      <c r="B148" s="67"/>
      <c r="C148" s="67"/>
      <c r="D148" s="67"/>
      <c r="E148" s="67"/>
      <c r="F148" s="67"/>
      <c r="G148" s="67"/>
      <c r="H148" s="6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idden="1" x14ac:dyDescent="0.4">
      <c r="A149" s="1"/>
      <c r="B149" s="67"/>
      <c r="C149" s="67"/>
      <c r="D149" s="67"/>
      <c r="E149" s="67"/>
      <c r="F149" s="67"/>
      <c r="G149" s="67"/>
      <c r="H149" s="6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idden="1" x14ac:dyDescent="0.4">
      <c r="A150" s="1"/>
      <c r="B150" s="67"/>
      <c r="C150" s="67"/>
      <c r="D150" s="67"/>
      <c r="E150" s="67"/>
      <c r="F150" s="67"/>
      <c r="G150" s="67"/>
      <c r="H150" s="6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idden="1" x14ac:dyDescent="0.4">
      <c r="A151" s="1"/>
      <c r="B151" s="67"/>
      <c r="C151" s="67"/>
      <c r="D151" s="67"/>
      <c r="E151" s="67"/>
      <c r="F151" s="67"/>
      <c r="G151" s="67"/>
      <c r="H151" s="6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idden="1" x14ac:dyDescent="0.4">
      <c r="A152" s="1"/>
      <c r="B152" s="67"/>
      <c r="C152" s="67"/>
      <c r="D152" s="67"/>
      <c r="E152" s="67"/>
      <c r="F152" s="67"/>
      <c r="G152" s="67"/>
      <c r="H152" s="6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idden="1" x14ac:dyDescent="0.4">
      <c r="A153" s="1"/>
      <c r="B153" s="67"/>
      <c r="C153" s="67"/>
      <c r="D153" s="67"/>
      <c r="E153" s="67"/>
      <c r="F153" s="67"/>
      <c r="G153" s="67"/>
      <c r="H153" s="6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idden="1" x14ac:dyDescent="0.4">
      <c r="A154" s="1"/>
      <c r="B154" s="67"/>
      <c r="C154" s="67"/>
      <c r="D154" s="67"/>
      <c r="E154" s="67"/>
      <c r="F154" s="67"/>
      <c r="G154" s="67"/>
      <c r="H154" s="6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idden="1" x14ac:dyDescent="0.4">
      <c r="A155" s="1"/>
      <c r="B155" s="67"/>
      <c r="C155" s="67"/>
      <c r="D155" s="67"/>
      <c r="E155" s="67"/>
      <c r="F155" s="67"/>
      <c r="G155" s="67"/>
      <c r="H155" s="6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idden="1" x14ac:dyDescent="0.4">
      <c r="A156" s="1"/>
      <c r="B156" s="67"/>
      <c r="C156" s="67"/>
      <c r="D156" s="67"/>
      <c r="E156" s="67"/>
      <c r="F156" s="67"/>
      <c r="G156" s="67"/>
      <c r="H156" s="6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idden="1" x14ac:dyDescent="0.4">
      <c r="A157" s="1"/>
      <c r="B157" s="67"/>
      <c r="C157" s="67"/>
      <c r="D157" s="67"/>
      <c r="E157" s="67"/>
      <c r="F157" s="67"/>
      <c r="G157" s="67"/>
      <c r="H157" s="6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idden="1" x14ac:dyDescent="0.4">
      <c r="A158" s="1"/>
      <c r="B158" s="67"/>
      <c r="C158" s="67"/>
      <c r="D158" s="67"/>
      <c r="E158" s="67"/>
      <c r="F158" s="67"/>
      <c r="G158" s="67"/>
      <c r="H158" s="6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idden="1" x14ac:dyDescent="0.4">
      <c r="A159" s="1"/>
      <c r="B159" s="67"/>
      <c r="C159" s="67"/>
      <c r="D159" s="67"/>
      <c r="E159" s="67"/>
      <c r="F159" s="67"/>
      <c r="G159" s="67"/>
      <c r="H159" s="6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idden="1" x14ac:dyDescent="0.4">
      <c r="A160" s="1"/>
      <c r="B160" s="67"/>
      <c r="C160" s="67"/>
      <c r="D160" s="67"/>
      <c r="E160" s="67"/>
      <c r="F160" s="67"/>
      <c r="G160" s="67"/>
      <c r="H160" s="6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idden="1" x14ac:dyDescent="0.4">
      <c r="A161" s="1"/>
      <c r="B161" s="67"/>
      <c r="C161" s="67"/>
      <c r="D161" s="67"/>
      <c r="E161" s="67"/>
      <c r="F161" s="67"/>
      <c r="G161" s="67"/>
      <c r="H161" s="6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idden="1" x14ac:dyDescent="0.4">
      <c r="A162" s="1"/>
      <c r="B162" s="67"/>
      <c r="C162" s="67"/>
      <c r="D162" s="67"/>
      <c r="E162" s="67"/>
      <c r="F162" s="67"/>
      <c r="G162" s="67"/>
      <c r="H162" s="6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idden="1" x14ac:dyDescent="0.4">
      <c r="A163" s="1"/>
      <c r="B163" s="67"/>
      <c r="C163" s="67"/>
      <c r="D163" s="67"/>
      <c r="E163" s="67"/>
      <c r="F163" s="67"/>
      <c r="G163" s="67"/>
      <c r="H163" s="6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idden="1" x14ac:dyDescent="0.4">
      <c r="A164" s="1"/>
      <c r="B164" s="67"/>
      <c r="C164" s="67"/>
      <c r="D164" s="67"/>
      <c r="E164" s="67"/>
      <c r="F164" s="67"/>
      <c r="G164" s="67"/>
      <c r="H164" s="6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idden="1" x14ac:dyDescent="0.4">
      <c r="A165" s="1"/>
      <c r="B165" s="67"/>
      <c r="C165" s="67"/>
      <c r="D165" s="67"/>
      <c r="E165" s="67"/>
      <c r="F165" s="67"/>
      <c r="G165" s="67"/>
      <c r="H165" s="6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idden="1" x14ac:dyDescent="0.4">
      <c r="A166" s="1"/>
      <c r="B166" s="67"/>
      <c r="C166" s="67"/>
      <c r="D166" s="67"/>
      <c r="E166" s="67"/>
      <c r="F166" s="67"/>
      <c r="G166" s="67"/>
      <c r="H166" s="6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idden="1" x14ac:dyDescent="0.4">
      <c r="A167" s="1"/>
      <c r="B167" s="67"/>
      <c r="C167" s="67"/>
      <c r="D167" s="67"/>
      <c r="E167" s="67"/>
      <c r="F167" s="67"/>
      <c r="G167" s="67"/>
      <c r="H167" s="6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idden="1" x14ac:dyDescent="0.4">
      <c r="A168" s="1"/>
      <c r="B168" s="67"/>
      <c r="C168" s="67"/>
      <c r="D168" s="67"/>
      <c r="E168" s="67"/>
      <c r="F168" s="67"/>
      <c r="G168" s="67"/>
      <c r="H168" s="6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idden="1" x14ac:dyDescent="0.4">
      <c r="A169" s="1"/>
      <c r="B169" s="67"/>
      <c r="C169" s="67"/>
      <c r="D169" s="67"/>
      <c r="E169" s="67"/>
      <c r="F169" s="67"/>
      <c r="G169" s="67"/>
      <c r="H169" s="6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idden="1" x14ac:dyDescent="0.4">
      <c r="A170" s="1"/>
      <c r="B170" s="67"/>
      <c r="C170" s="67"/>
      <c r="D170" s="67"/>
      <c r="E170" s="67"/>
      <c r="F170" s="67"/>
      <c r="G170" s="67"/>
      <c r="H170" s="6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idden="1" x14ac:dyDescent="0.4">
      <c r="A171" s="1"/>
      <c r="B171" s="67"/>
      <c r="C171" s="67"/>
      <c r="D171" s="67"/>
      <c r="E171" s="67"/>
      <c r="F171" s="67"/>
      <c r="G171" s="67"/>
      <c r="H171" s="6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idden="1" x14ac:dyDescent="0.4">
      <c r="A172" s="1"/>
      <c r="B172" s="67"/>
      <c r="C172" s="67"/>
      <c r="D172" s="67"/>
      <c r="E172" s="67"/>
      <c r="F172" s="67"/>
      <c r="G172" s="67"/>
      <c r="H172" s="6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idden="1" x14ac:dyDescent="0.4">
      <c r="A173" s="1"/>
      <c r="B173" s="67"/>
      <c r="C173" s="67"/>
      <c r="D173" s="67"/>
      <c r="E173" s="67"/>
      <c r="F173" s="67"/>
      <c r="G173" s="67"/>
      <c r="H173" s="6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idden="1" x14ac:dyDescent="0.4">
      <c r="A174" s="1"/>
      <c r="B174" s="67"/>
      <c r="C174" s="67"/>
      <c r="D174" s="67"/>
      <c r="E174" s="67"/>
      <c r="F174" s="67"/>
      <c r="G174" s="67"/>
      <c r="H174" s="6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idden="1" x14ac:dyDescent="0.4">
      <c r="A175" s="1"/>
      <c r="B175" s="67"/>
      <c r="C175" s="67"/>
      <c r="D175" s="67"/>
      <c r="E175" s="67"/>
      <c r="F175" s="67"/>
      <c r="G175" s="67"/>
      <c r="H175" s="6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idden="1" x14ac:dyDescent="0.4">
      <c r="A176" s="1"/>
      <c r="B176" s="67"/>
      <c r="C176" s="67"/>
      <c r="D176" s="67"/>
      <c r="E176" s="67"/>
      <c r="F176" s="67"/>
      <c r="G176" s="67"/>
      <c r="H176" s="6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idden="1" x14ac:dyDescent="0.4">
      <c r="A177" s="1"/>
      <c r="B177" s="67"/>
      <c r="C177" s="67"/>
      <c r="D177" s="67"/>
      <c r="E177" s="67"/>
      <c r="F177" s="67"/>
      <c r="G177" s="67"/>
      <c r="H177" s="6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idden="1" x14ac:dyDescent="0.4">
      <c r="A178" s="1"/>
      <c r="B178" s="67"/>
      <c r="C178" s="67"/>
      <c r="D178" s="67"/>
      <c r="E178" s="67"/>
      <c r="F178" s="67"/>
      <c r="G178" s="67"/>
      <c r="H178" s="6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idden="1" x14ac:dyDescent="0.4">
      <c r="A179" s="1"/>
      <c r="B179" s="67"/>
      <c r="C179" s="67"/>
      <c r="D179" s="67"/>
      <c r="E179" s="67"/>
      <c r="F179" s="67"/>
      <c r="G179" s="67"/>
      <c r="H179" s="6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</sheetData>
  <mergeCells count="6">
    <mergeCell ref="G5:G6"/>
    <mergeCell ref="B5:B6"/>
    <mergeCell ref="C5:C6"/>
    <mergeCell ref="D5:D6"/>
    <mergeCell ref="E5:E6"/>
    <mergeCell ref="F5:F6"/>
  </mergeCells>
  <dataValidations count="6">
    <dataValidation type="custom" allowBlank="1" showInputMessage="1" showErrorMessage="1" errorTitle="Erro" error="Não introduzir dados nesta célula" sqref="B4 B6:B7" xr:uid="{394E3D10-6E9F-4AC4-828E-EE08F8677471}">
      <formula1>"&lt;&gt;"""""</formula1>
    </dataValidation>
    <dataValidation type="decimal" operator="greaterThanOrEqual" allowBlank="1" showInputMessage="1" showErrorMessage="1" error="Introduzir número positivo" sqref="C8:D11" xr:uid="{2F02165C-8EB2-4A9C-961F-74B7C187993C}">
      <formula1>0</formula1>
    </dataValidation>
    <dataValidation type="decimal" operator="lessThanOrEqual" allowBlank="1" showInputMessage="1" showErrorMessage="1" error="Introduzir n.º igual ou inferior a zero_x000a_" sqref="C38:D46" xr:uid="{B0EC1F5D-2C13-4B45-9344-9FF3C3786041}">
      <formula1>0</formula1>
    </dataValidation>
    <dataValidation type="decimal" operator="greaterThanOrEqual" allowBlank="1" showInputMessage="1" showErrorMessage="1" error="Introduzir n.º positivo" sqref="C49:D60 C64:D72" xr:uid="{D88E861D-CE19-4889-A820-240C102E1E6A}">
      <formula1>0</formula1>
    </dataValidation>
    <dataValidation type="decimal" operator="lessThanOrEqual" allowBlank="1" showInputMessage="1" showErrorMessage="1" error="Introduzir n.º igual ou inferior a zero" sqref="C75:D82" xr:uid="{78892051-2277-4AE2-80BA-9C3D0DFBF8D5}">
      <formula1>0</formula1>
    </dataValidation>
    <dataValidation type="decimal" operator="lessThanOrEqual" allowBlank="1" showInputMessage="1" showErrorMessage="1" error="Introduzir número negativo ou nulo." sqref="C12:D21" xr:uid="{C1903C45-7CB7-4385-A30D-6775EC5F567E}">
      <formula1>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2FC1D-1A3F-4483-8C89-5826B13F66C3}">
  <sheetPr codeName="Folha7">
    <tabColor rgb="FFF2A068"/>
  </sheetPr>
  <dimension ref="A1:BI59"/>
  <sheetViews>
    <sheetView zoomScaleNormal="100" workbookViewId="0">
      <selection activeCell="E32" sqref="E32:N35"/>
    </sheetView>
  </sheetViews>
  <sheetFormatPr defaultColWidth="0" defaultRowHeight="14.6" zeroHeight="1" x14ac:dyDescent="0.4"/>
  <cols>
    <col min="1" max="1" width="9.15234375" style="1" customWidth="1"/>
    <col min="2" max="2" width="39.15234375" style="1" customWidth="1"/>
    <col min="3" max="3" width="9.15234375" style="1" customWidth="1"/>
    <col min="4" max="4" width="11.4609375" customWidth="1"/>
    <col min="5" max="5" width="15.15234375" style="1" customWidth="1"/>
    <col min="6" max="6" width="10.15234375" style="1" bestFit="1" customWidth="1"/>
    <col min="7" max="7" width="11.15234375" style="1" customWidth="1"/>
    <col min="8" max="8" width="12.3046875" style="1" customWidth="1"/>
    <col min="9" max="9" width="11" style="1" customWidth="1"/>
    <col min="10" max="14" width="10" style="1" bestFit="1" customWidth="1"/>
    <col min="15" max="18" width="9.15234375" style="1" customWidth="1"/>
    <col min="19" max="21" width="9.15234375" style="1" hidden="1" customWidth="1"/>
    <col min="22" max="61" width="0" style="1" hidden="1" customWidth="1"/>
    <col min="62" max="16384" width="9.15234375" style="1" hidden="1"/>
  </cols>
  <sheetData>
    <row r="1" spans="1:37" customFormat="1" x14ac:dyDescent="0.4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customFormat="1" x14ac:dyDescent="0.4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customFormat="1" x14ac:dyDescent="0.4">
      <c r="A3" s="122"/>
      <c r="B3" s="124" t="s">
        <v>6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customFormat="1" x14ac:dyDescent="0.4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481" t="s">
        <v>129</v>
      </c>
      <c r="N4" s="480" t="s">
        <v>350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customFormat="1" x14ac:dyDescent="0.4">
      <c r="A5" s="122"/>
      <c r="B5" s="589" t="s">
        <v>32</v>
      </c>
      <c r="C5" s="590" t="s">
        <v>52</v>
      </c>
      <c r="D5" s="591" t="s">
        <v>466</v>
      </c>
      <c r="E5" s="477" t="s">
        <v>467</v>
      </c>
      <c r="F5" s="478">
        <v>2026</v>
      </c>
      <c r="G5" s="478">
        <v>2026</v>
      </c>
      <c r="H5" s="478" t="s">
        <v>462</v>
      </c>
      <c r="I5" s="478" t="s">
        <v>463</v>
      </c>
      <c r="J5" s="478" t="s">
        <v>464</v>
      </c>
      <c r="K5" s="478" t="s">
        <v>465</v>
      </c>
      <c r="L5" s="478">
        <v>2028</v>
      </c>
      <c r="M5" s="478">
        <v>2029</v>
      </c>
      <c r="N5" s="478" t="s">
        <v>468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customFormat="1" x14ac:dyDescent="0.4">
      <c r="A6" s="122"/>
      <c r="B6" s="589"/>
      <c r="C6" s="590"/>
      <c r="D6" s="592"/>
      <c r="E6" s="479" t="s">
        <v>77</v>
      </c>
      <c r="F6" s="479" t="s">
        <v>78</v>
      </c>
      <c r="G6" s="479" t="s">
        <v>368</v>
      </c>
      <c r="H6" s="479" t="s">
        <v>79</v>
      </c>
      <c r="I6" s="479" t="s">
        <v>79</v>
      </c>
      <c r="J6" s="479" t="s">
        <v>79</v>
      </c>
      <c r="K6" s="479" t="s">
        <v>79</v>
      </c>
      <c r="L6" s="479" t="s">
        <v>79</v>
      </c>
      <c r="M6" s="479" t="s">
        <v>79</v>
      </c>
      <c r="N6" s="479" t="s">
        <v>79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customFormat="1" x14ac:dyDescent="0.4">
      <c r="A7" s="96"/>
      <c r="B7" s="123"/>
      <c r="C7" s="123"/>
      <c r="D7" s="123"/>
      <c r="E7" s="123"/>
      <c r="F7" s="162"/>
      <c r="G7" s="162"/>
      <c r="H7" s="162"/>
      <c r="I7" s="162"/>
      <c r="J7" s="162"/>
      <c r="K7" s="162"/>
      <c r="L7" s="162"/>
      <c r="M7" s="162"/>
      <c r="N7" s="16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customFormat="1" x14ac:dyDescent="0.4">
      <c r="A8" s="516" t="s">
        <v>501</v>
      </c>
      <c r="B8" s="482" t="s">
        <v>164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customFormat="1" x14ac:dyDescent="0.4">
      <c r="A9" s="516" t="s">
        <v>502</v>
      </c>
      <c r="B9" s="486" t="s">
        <v>165</v>
      </c>
      <c r="C9" s="104"/>
      <c r="D9" s="104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customFormat="1" x14ac:dyDescent="0.4">
      <c r="A10" s="516" t="s">
        <v>502</v>
      </c>
      <c r="B10" s="486" t="s">
        <v>166</v>
      </c>
      <c r="C10" s="104"/>
      <c r="D10" s="104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"/>
      <c r="P10" s="78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customFormat="1" x14ac:dyDescent="0.4">
      <c r="A11" s="516" t="s">
        <v>502</v>
      </c>
      <c r="B11" s="486" t="s">
        <v>167</v>
      </c>
      <c r="C11" s="104"/>
      <c r="D11" s="104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customFormat="1" x14ac:dyDescent="0.4">
      <c r="A12" s="122"/>
      <c r="B12" s="487" t="s">
        <v>172</v>
      </c>
      <c r="C12" s="143"/>
      <c r="D12" s="489"/>
      <c r="E12" s="489"/>
      <c r="F12" s="268"/>
      <c r="G12" s="268"/>
      <c r="H12" s="268"/>
      <c r="I12" s="268"/>
      <c r="J12" s="268"/>
      <c r="K12" s="268"/>
      <c r="L12" s="268"/>
      <c r="M12" s="268"/>
      <c r="N12" s="268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customFormat="1" x14ac:dyDescent="0.4">
      <c r="A13" s="1"/>
      <c r="B13" s="487"/>
      <c r="C13" s="489"/>
      <c r="D13" s="489"/>
      <c r="E13" s="489"/>
      <c r="F13" s="268"/>
      <c r="G13" s="268"/>
      <c r="H13" s="268"/>
      <c r="I13" s="268"/>
      <c r="J13" s="268"/>
      <c r="K13" s="268"/>
      <c r="L13" s="268"/>
      <c r="M13" s="268"/>
      <c r="N13" s="268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customFormat="1" x14ac:dyDescent="0.4">
      <c r="A14" s="516" t="s">
        <v>501</v>
      </c>
      <c r="B14" s="482" t="s">
        <v>168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customFormat="1" x14ac:dyDescent="0.4">
      <c r="A15" s="516" t="s">
        <v>502</v>
      </c>
      <c r="B15" s="488" t="s">
        <v>165</v>
      </c>
      <c r="C15" s="104"/>
      <c r="D15" s="104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customFormat="1" x14ac:dyDescent="0.4">
      <c r="A16" s="516" t="s">
        <v>502</v>
      </c>
      <c r="B16" s="488" t="s">
        <v>166</v>
      </c>
      <c r="C16" s="104"/>
      <c r="D16" s="104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customFormat="1" x14ac:dyDescent="0.4">
      <c r="A17" s="516" t="s">
        <v>502</v>
      </c>
      <c r="B17" s="488" t="s">
        <v>167</v>
      </c>
      <c r="C17" s="104"/>
      <c r="D17" s="104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customFormat="1" x14ac:dyDescent="0.4">
      <c r="A18" s="1"/>
      <c r="B18" s="487" t="s">
        <v>173</v>
      </c>
      <c r="C18" s="143"/>
      <c r="D18" s="489"/>
      <c r="E18" s="489"/>
      <c r="F18" s="268"/>
      <c r="G18" s="268"/>
      <c r="H18" s="268"/>
      <c r="I18" s="268"/>
      <c r="J18" s="268"/>
      <c r="K18" s="268"/>
      <c r="L18" s="268"/>
      <c r="M18" s="268"/>
      <c r="N18" s="26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customFormat="1" x14ac:dyDescent="0.4">
      <c r="A19" s="1"/>
      <c r="B19" s="487"/>
      <c r="C19" s="489"/>
      <c r="D19" s="489"/>
      <c r="E19" s="489"/>
      <c r="F19" s="268"/>
      <c r="G19" s="268"/>
      <c r="H19" s="268"/>
      <c r="I19" s="268"/>
      <c r="J19" s="268"/>
      <c r="K19" s="268"/>
      <c r="L19" s="268"/>
      <c r="M19" s="268"/>
      <c r="N19" s="268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customFormat="1" x14ac:dyDescent="0.4">
      <c r="A20" s="516" t="s">
        <v>501</v>
      </c>
      <c r="B20" s="482" t="s">
        <v>169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customFormat="1" x14ac:dyDescent="0.4">
      <c r="A21" s="516" t="s">
        <v>502</v>
      </c>
      <c r="B21" s="486" t="s">
        <v>165</v>
      </c>
      <c r="C21" s="104"/>
      <c r="D21" s="104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customFormat="1" x14ac:dyDescent="0.4">
      <c r="A22" s="516" t="s">
        <v>502</v>
      </c>
      <c r="B22" s="486" t="s">
        <v>166</v>
      </c>
      <c r="C22" s="104"/>
      <c r="D22" s="104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customFormat="1" x14ac:dyDescent="0.4">
      <c r="A23" s="516" t="s">
        <v>502</v>
      </c>
      <c r="B23" s="486" t="s">
        <v>167</v>
      </c>
      <c r="C23" s="104"/>
      <c r="D23" s="104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customFormat="1" x14ac:dyDescent="0.4">
      <c r="A24" s="1"/>
      <c r="B24" s="487" t="s">
        <v>174</v>
      </c>
      <c r="C24" s="143"/>
      <c r="D24" s="489"/>
      <c r="E24" s="489"/>
      <c r="F24" s="268"/>
      <c r="G24" s="268"/>
      <c r="H24" s="268"/>
      <c r="I24" s="268"/>
      <c r="J24" s="268"/>
      <c r="K24" s="268"/>
      <c r="L24" s="268"/>
      <c r="M24" s="268"/>
      <c r="N24" s="268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customFormat="1" x14ac:dyDescent="0.4">
      <c r="A25" s="1"/>
      <c r="B25" s="487"/>
      <c r="C25" s="489"/>
      <c r="D25" s="489"/>
      <c r="E25" s="489"/>
      <c r="F25" s="268"/>
      <c r="G25" s="268"/>
      <c r="H25" s="268"/>
      <c r="I25" s="268"/>
      <c r="J25" s="268"/>
      <c r="K25" s="268"/>
      <c r="L25" s="268"/>
      <c r="M25" s="268"/>
      <c r="N25" s="268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customFormat="1" x14ac:dyDescent="0.4">
      <c r="A26" s="516" t="s">
        <v>501</v>
      </c>
      <c r="B26" s="482" t="s">
        <v>170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customFormat="1" x14ac:dyDescent="0.4">
      <c r="A27" s="516" t="s">
        <v>502</v>
      </c>
      <c r="B27" s="486" t="s">
        <v>165</v>
      </c>
      <c r="C27" s="104"/>
      <c r="D27" s="104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customFormat="1" x14ac:dyDescent="0.4">
      <c r="A28" s="516" t="s">
        <v>502</v>
      </c>
      <c r="B28" s="486" t="s">
        <v>166</v>
      </c>
      <c r="C28" s="104"/>
      <c r="D28" s="104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customFormat="1" x14ac:dyDescent="0.4">
      <c r="A29" s="516" t="s">
        <v>502</v>
      </c>
      <c r="B29" s="486" t="s">
        <v>167</v>
      </c>
      <c r="C29" s="104"/>
      <c r="D29" s="104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customFormat="1" x14ac:dyDescent="0.4">
      <c r="A30" s="1"/>
      <c r="B30" s="487" t="s">
        <v>175</v>
      </c>
      <c r="C30" s="143"/>
      <c r="D30" s="489"/>
      <c r="E30" s="489"/>
      <c r="F30" s="268"/>
      <c r="G30" s="268"/>
      <c r="H30" s="268"/>
      <c r="I30" s="268"/>
      <c r="J30" s="268"/>
      <c r="K30" s="268"/>
      <c r="L30" s="268"/>
      <c r="M30" s="268"/>
      <c r="N30" s="268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customFormat="1" x14ac:dyDescent="0.4">
      <c r="A31" s="1"/>
      <c r="B31" s="487"/>
      <c r="C31" s="489"/>
      <c r="D31" s="489"/>
      <c r="E31" s="489"/>
      <c r="F31" s="268"/>
      <c r="G31" s="268"/>
      <c r="H31" s="268"/>
      <c r="I31" s="268"/>
      <c r="J31" s="268"/>
      <c r="K31" s="268"/>
      <c r="L31" s="268"/>
      <c r="M31" s="268"/>
      <c r="N31" s="268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customFormat="1" x14ac:dyDescent="0.4">
      <c r="A32" s="516" t="s">
        <v>501</v>
      </c>
      <c r="B32" s="482" t="s">
        <v>171</v>
      </c>
      <c r="C32" s="270"/>
      <c r="D32" s="270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61" customFormat="1" x14ac:dyDescent="0.4">
      <c r="A33" s="516" t="s">
        <v>502</v>
      </c>
      <c r="B33" s="486" t="s">
        <v>165</v>
      </c>
      <c r="C33" s="104"/>
      <c r="D33" s="104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61" customFormat="1" x14ac:dyDescent="0.4">
      <c r="A34" s="516" t="s">
        <v>502</v>
      </c>
      <c r="B34" s="486" t="s">
        <v>166</v>
      </c>
      <c r="C34" s="104"/>
      <c r="D34" s="104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61" customFormat="1" x14ac:dyDescent="0.4">
      <c r="A35" s="516" t="s">
        <v>502</v>
      </c>
      <c r="B35" s="486" t="s">
        <v>167</v>
      </c>
      <c r="C35" s="104"/>
      <c r="D35" s="104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61" customFormat="1" x14ac:dyDescent="0.4">
      <c r="A36" s="122"/>
      <c r="B36" s="487" t="s">
        <v>176</v>
      </c>
      <c r="C36" s="143"/>
      <c r="D36" s="489"/>
      <c r="E36" s="489"/>
      <c r="F36" s="268"/>
      <c r="G36" s="268"/>
      <c r="H36" s="268"/>
      <c r="I36" s="268"/>
      <c r="J36" s="268"/>
      <c r="K36" s="268"/>
      <c r="L36" s="268"/>
      <c r="M36" s="268"/>
      <c r="N36" s="268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61" customFormat="1" x14ac:dyDescent="0.4">
      <c r="A37" s="122"/>
      <c r="B37" s="122"/>
      <c r="C37" s="122"/>
      <c r="D37" s="122"/>
      <c r="E37" s="122"/>
      <c r="F37" s="268"/>
      <c r="G37" s="268"/>
      <c r="H37" s="268"/>
      <c r="I37" s="268"/>
      <c r="J37" s="268"/>
      <c r="K37" s="268"/>
      <c r="L37" s="268"/>
      <c r="M37" s="268"/>
      <c r="N37" s="268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61" customFormat="1" x14ac:dyDescent="0.4">
      <c r="A38" s="122"/>
      <c r="B38" s="1"/>
      <c r="C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61" customFormat="1" x14ac:dyDescent="0.4">
      <c r="A39" s="122"/>
      <c r="B39" s="593" t="s">
        <v>177</v>
      </c>
      <c r="C39" s="594"/>
      <c r="D39" s="595"/>
      <c r="E39" s="271">
        <f>IFERROR(SUMIF($A$8:$A38,"I",E8:E38),"")</f>
        <v>0</v>
      </c>
      <c r="F39" s="271">
        <f>IFERROR(SUMIF($A$8:$A38,"I",F8:F38),"")</f>
        <v>0</v>
      </c>
      <c r="G39" s="271">
        <f>IFERROR(SUMIF($A$8:$A38,"I",G8:G38),"")</f>
        <v>0</v>
      </c>
      <c r="H39" s="271">
        <f>IFERROR(SUMIF($A$8:$A38,"I",H8:H38),"")</f>
        <v>0</v>
      </c>
      <c r="I39" s="271">
        <f>IFERROR(SUMIF($A$8:$A38,"I",I8:I38),"")</f>
        <v>0</v>
      </c>
      <c r="J39" s="271">
        <f>IFERROR(SUMIF($A$8:$A38,"I",J8:J38),"")</f>
        <v>0</v>
      </c>
      <c r="K39" s="271">
        <f>IFERROR(SUMIF($A$8:$A38,"I",K8:K38),"")</f>
        <v>0</v>
      </c>
      <c r="L39" s="271">
        <f>IFERROR(SUMIF($A$8:$A38,"I",L8:L38),"")</f>
        <v>0</v>
      </c>
      <c r="M39" s="271">
        <f>IFERROR(SUMIF($A$8:$A38,"I",M8:M38),"")</f>
        <v>0</v>
      </c>
      <c r="N39" s="271">
        <f>IFERROR(SUMIF($A$8:$A38,"I",N8:N38),"")</f>
        <v>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61" customFormat="1" x14ac:dyDescent="0.4">
      <c r="A40" s="122"/>
      <c r="B40" s="475" t="s">
        <v>178</v>
      </c>
      <c r="C40" s="492"/>
      <c r="D40" s="476"/>
      <c r="E40" s="271">
        <f>IFERROR(SUMIF($A$8:$A38,"F",E8:E38),"")</f>
        <v>0</v>
      </c>
      <c r="F40" s="271">
        <f>IFERROR(SUMIF($A$8:$A38,"F",F8:F38),"")</f>
        <v>0</v>
      </c>
      <c r="G40" s="271">
        <f>IFERROR(SUMIF($A$8:$A38,"F",G8:G38),"")</f>
        <v>0</v>
      </c>
      <c r="H40" s="271">
        <f>IFERROR(SUMIF($A$8:$A38,"F",H8:H38),"")</f>
        <v>0</v>
      </c>
      <c r="I40" s="271">
        <f>IFERROR(SUMIF($A$8:$A38,"F",I8:I38),"")</f>
        <v>0</v>
      </c>
      <c r="J40" s="271">
        <f>IFERROR(SUMIF($A$8:$A38,"F",J8:J38),"")</f>
        <v>0</v>
      </c>
      <c r="K40" s="271">
        <f>IFERROR(SUMIF($A$8:$A38,"F",K8:K38),"")</f>
        <v>0</v>
      </c>
      <c r="L40" s="271">
        <f>IFERROR(SUMIF($A$8:$A38,"F",L8:L38),"")</f>
        <v>0</v>
      </c>
      <c r="M40" s="271">
        <f>IFERROR(SUMIF($A$8:$A38,"F",M8:M38),"")</f>
        <v>0</v>
      </c>
      <c r="N40" s="271">
        <f>IFERROR(SUMIF($A$8:$A38,"F",N8:N38),"")</f>
        <v>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61" customFormat="1" x14ac:dyDescent="0.4">
      <c r="A41" s="122"/>
      <c r="B41" s="122"/>
      <c r="C41" s="122"/>
      <c r="D41" s="122"/>
      <c r="E41" s="122"/>
      <c r="F41" s="163"/>
      <c r="G41" s="163"/>
      <c r="H41" s="163"/>
      <c r="I41" s="163"/>
      <c r="J41" s="163"/>
      <c r="K41" s="163"/>
      <c r="L41" s="163"/>
      <c r="M41" s="163"/>
      <c r="N41" s="163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61" customFormat="1" x14ac:dyDescent="0.4">
      <c r="A42" s="2"/>
      <c r="B42" s="483" t="s">
        <v>179</v>
      </c>
      <c r="C42" s="491"/>
      <c r="D42" s="491"/>
      <c r="E42" s="164">
        <f>E39-E40</f>
        <v>0</v>
      </c>
      <c r="F42" s="164">
        <f>F39-F40</f>
        <v>0</v>
      </c>
      <c r="G42" s="164">
        <f t="shared" ref="G42:N42" si="0">G39-G40</f>
        <v>0</v>
      </c>
      <c r="H42" s="164">
        <f t="shared" si="0"/>
        <v>0</v>
      </c>
      <c r="I42" s="164">
        <f t="shared" si="0"/>
        <v>0</v>
      </c>
      <c r="J42" s="164">
        <f t="shared" si="0"/>
        <v>0</v>
      </c>
      <c r="K42" s="164">
        <f t="shared" si="0"/>
        <v>0</v>
      </c>
      <c r="L42" s="164">
        <f t="shared" si="0"/>
        <v>0</v>
      </c>
      <c r="M42" s="164">
        <f t="shared" si="0"/>
        <v>0</v>
      </c>
      <c r="N42" s="164">
        <f t="shared" si="0"/>
        <v>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61" customForma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61" customFormat="1" x14ac:dyDescent="0.4">
      <c r="A44" s="2"/>
      <c r="B44" s="484" t="s">
        <v>17</v>
      </c>
      <c r="C44" s="485"/>
      <c r="D44" s="485"/>
      <c r="E44" s="485"/>
      <c r="F44" s="485"/>
      <c r="G44" s="485"/>
      <c r="H44" s="485"/>
      <c r="I44" s="485"/>
      <c r="J44" s="485"/>
      <c r="K44" s="485"/>
      <c r="L44" s="485"/>
      <c r="M44" s="485"/>
      <c r="N44" s="485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61" customFormat="1" ht="6.45" customHeight="1" x14ac:dyDescent="0.4">
      <c r="A45" s="490"/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61" customFormat="1" ht="20.6" customHeight="1" x14ac:dyDescent="0.4">
      <c r="A46" s="2"/>
      <c r="B46" s="588" t="s">
        <v>469</v>
      </c>
      <c r="C46" s="588"/>
      <c r="D46" s="588"/>
      <c r="E46" s="588"/>
      <c r="F46" s="588"/>
      <c r="G46" s="588"/>
      <c r="H46" s="588"/>
      <c r="I46" s="588"/>
      <c r="J46" s="588"/>
      <c r="K46" s="588"/>
      <c r="L46" s="588"/>
      <c r="M46" s="588"/>
      <c r="N46" s="58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61" customFormat="1" ht="18.75" customHeight="1" x14ac:dyDescent="0.4">
      <c r="A47" s="2"/>
      <c r="B47" s="587" t="s">
        <v>470</v>
      </c>
      <c r="C47" s="587"/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61" customFormat="1" ht="21.9" customHeight="1" x14ac:dyDescent="0.4">
      <c r="A48" s="2"/>
      <c r="B48" s="588" t="s">
        <v>471</v>
      </c>
      <c r="C48" s="588"/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customFormat="1" ht="20.149999999999999" customHeight="1" x14ac:dyDescent="0.4">
      <c r="A49" s="2"/>
      <c r="B49" s="587" t="s">
        <v>180</v>
      </c>
      <c r="C49" s="587"/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customForma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61" x14ac:dyDescent="0.4">
      <c r="D52" s="1"/>
    </row>
    <row r="53" spans="1:61" x14ac:dyDescent="0.4">
      <c r="D53" s="1"/>
    </row>
    <row r="54" spans="1:61" x14ac:dyDescent="0.4">
      <c r="D54" s="1"/>
    </row>
    <row r="55" spans="1:61" x14ac:dyDescent="0.4">
      <c r="D55" s="1"/>
    </row>
    <row r="56" spans="1:61" hidden="1" x14ac:dyDescent="0.4">
      <c r="D56" s="1"/>
    </row>
    <row r="57" spans="1:61" x14ac:dyDescent="0.4">
      <c r="D57" s="1"/>
    </row>
    <row r="58" spans="1:61" ht="6" customHeight="1" x14ac:dyDescent="0.4">
      <c r="D58" s="1"/>
    </row>
    <row r="59" spans="1:61" ht="10.3" customHeight="1" x14ac:dyDescent="0.4"/>
  </sheetData>
  <sheetProtection selectLockedCells="1"/>
  <mergeCells count="8">
    <mergeCell ref="B47:N47"/>
    <mergeCell ref="B48:N48"/>
    <mergeCell ref="B49:N49"/>
    <mergeCell ref="B5:B6"/>
    <mergeCell ref="C5:C6"/>
    <mergeCell ref="B46:N46"/>
    <mergeCell ref="D5:D6"/>
    <mergeCell ref="B39:D39"/>
  </mergeCells>
  <dataValidations count="2">
    <dataValidation type="decimal" operator="greaterThanOrEqual" allowBlank="1" showInputMessage="1" showErrorMessage="1" error="Introduzir decimal igual ou superior a zero" sqref="C8:N36" xr:uid="{5C44CE92-9763-41FF-A18B-345F5625FC2B}">
      <formula1>0</formula1>
    </dataValidation>
    <dataValidation type="list" allowBlank="1" showInputMessage="1" showErrorMessage="1" sqref="A8:A11 A14:A17 A20:A23 A26:A29 A32:A35" xr:uid="{37D2AD52-A563-40C4-B257-C9C509C1AD95}">
      <formula1>"I,F"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273F8-EF7F-4A65-9CBF-3CA9E017697E}">
  <sheetPr>
    <tabColor theme="8" tint="0.79998168889431442"/>
  </sheetPr>
  <dimension ref="A1:BA120"/>
  <sheetViews>
    <sheetView topLeftCell="A17" workbookViewId="0">
      <selection activeCell="C40" sqref="C40"/>
    </sheetView>
  </sheetViews>
  <sheetFormatPr defaultColWidth="0" defaultRowHeight="14.6" zeroHeight="1" x14ac:dyDescent="0.4"/>
  <cols>
    <col min="1" max="1" width="9.15234375" customWidth="1"/>
    <col min="2" max="2" width="63.53515625" customWidth="1"/>
    <col min="3" max="8" width="17.53515625" bestFit="1" customWidth="1"/>
    <col min="9" max="9" width="15.53515625" bestFit="1" customWidth="1"/>
    <col min="10" max="10" width="14.53515625" bestFit="1" customWidth="1"/>
    <col min="11" max="12" width="9.15234375" customWidth="1"/>
    <col min="13" max="14" width="9.15234375" hidden="1" customWidth="1"/>
    <col min="15" max="53" width="0" hidden="1" customWidth="1"/>
    <col min="54" max="16384" width="9.15234375" hidden="1"/>
  </cols>
  <sheetData>
    <row r="1" spans="1:53" ht="30.75" customHeight="1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5" customHeight="1" x14ac:dyDescent="0.4">
      <c r="A2" s="1"/>
      <c r="B2" s="128"/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15" x14ac:dyDescent="0.4">
      <c r="A3" s="1"/>
      <c r="B3" s="599" t="s">
        <v>192</v>
      </c>
      <c r="C3" s="127">
        <v>2024</v>
      </c>
      <c r="D3" s="127">
        <v>2025</v>
      </c>
      <c r="E3" s="127">
        <v>2026</v>
      </c>
      <c r="F3" s="127">
        <v>2026</v>
      </c>
      <c r="G3" s="127">
        <v>2027</v>
      </c>
      <c r="H3" s="127">
        <v>2028</v>
      </c>
      <c r="I3" s="127">
        <v>2029</v>
      </c>
      <c r="J3" s="598" t="s">
        <v>478</v>
      </c>
      <c r="K3" s="59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3" ht="15" x14ac:dyDescent="0.4">
      <c r="A4" s="1"/>
      <c r="B4" s="599"/>
      <c r="C4" s="127" t="s">
        <v>77</v>
      </c>
      <c r="D4" s="127" t="s">
        <v>77</v>
      </c>
      <c r="E4" s="127" t="s">
        <v>78</v>
      </c>
      <c r="F4" s="127" t="s">
        <v>368</v>
      </c>
      <c r="G4" s="127" t="s">
        <v>79</v>
      </c>
      <c r="H4" s="127" t="s">
        <v>79</v>
      </c>
      <c r="I4" s="127" t="s">
        <v>79</v>
      </c>
      <c r="J4" s="127" t="s">
        <v>182</v>
      </c>
      <c r="K4" s="127" t="s">
        <v>13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x14ac:dyDescent="0.4">
      <c r="A5" s="1"/>
      <c r="B5" s="130" t="s">
        <v>193</v>
      </c>
      <c r="C5" s="129" t="str">
        <f>IF(COUNT(C6:C8)=0,"",SUM(C6:C8))</f>
        <v/>
      </c>
      <c r="D5" s="129" t="str">
        <f t="shared" ref="D5:I5" si="0">IF(COUNT(D6:D8)=0,"",SUM(D6:D8))</f>
        <v/>
      </c>
      <c r="E5" s="129" t="str">
        <f t="shared" si="0"/>
        <v/>
      </c>
      <c r="F5" s="129" t="str">
        <f t="shared" si="0"/>
        <v/>
      </c>
      <c r="G5" s="129" t="str">
        <f t="shared" si="0"/>
        <v/>
      </c>
      <c r="H5" s="129" t="str">
        <f t="shared" si="0"/>
        <v/>
      </c>
      <c r="I5" s="129" t="str">
        <f t="shared" si="0"/>
        <v/>
      </c>
      <c r="J5" s="165" t="str">
        <f>IF(AND(F5="",G5=""),"",IF(ISERROR(G5-F5),"",G5-F5))</f>
        <v/>
      </c>
      <c r="K5" s="168" t="str">
        <f>IFERROR(J5/ABS(F5),"")</f>
        <v/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3" x14ac:dyDescent="0.4">
      <c r="A6" s="1"/>
      <c r="B6" s="494" t="s">
        <v>194</v>
      </c>
      <c r="C6" s="169"/>
      <c r="D6" s="169"/>
      <c r="E6" s="169"/>
      <c r="F6" s="169"/>
      <c r="G6" s="169"/>
      <c r="H6" s="169"/>
      <c r="I6" s="169"/>
      <c r="J6" s="166" t="str">
        <f>IF(AND(F6="",G6=""),"",IF(ISERROR(G6-F6),"",G6-F6))</f>
        <v/>
      </c>
      <c r="K6" s="167" t="str">
        <f>IFERROR(J6/ABS(F6),"")</f>
        <v/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3" x14ac:dyDescent="0.4">
      <c r="A7" s="1"/>
      <c r="B7" s="494" t="s">
        <v>323</v>
      </c>
      <c r="C7" s="169"/>
      <c r="D7" s="169"/>
      <c r="E7" s="169"/>
      <c r="F7" s="169"/>
      <c r="G7" s="169"/>
      <c r="H7" s="169"/>
      <c r="I7" s="169"/>
      <c r="J7" s="166" t="str">
        <f t="shared" ref="J7:J8" si="1">IF(AND(F7="",G7=""),"",IF(ISERROR(G7-F7),"",G7-F7))</f>
        <v/>
      </c>
      <c r="K7" s="167" t="str">
        <f t="shared" ref="K7:K8" si="2">IFERROR(J7/ABS(F7),"")</f>
        <v/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3" x14ac:dyDescent="0.4">
      <c r="A8" s="1"/>
      <c r="B8" s="494" t="s">
        <v>195</v>
      </c>
      <c r="C8" s="169"/>
      <c r="D8" s="169"/>
      <c r="E8" s="169"/>
      <c r="F8" s="169"/>
      <c r="G8" s="169"/>
      <c r="H8" s="169"/>
      <c r="I8" s="169"/>
      <c r="J8" s="166" t="str">
        <f t="shared" si="1"/>
        <v/>
      </c>
      <c r="K8" s="167" t="str">
        <f t="shared" si="2"/>
        <v/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x14ac:dyDescent="0.4">
      <c r="A9" s="1"/>
      <c r="B9" s="122"/>
      <c r="C9" s="170"/>
      <c r="D9" s="170"/>
      <c r="E9" s="170"/>
      <c r="F9" s="170"/>
      <c r="G9" s="170"/>
      <c r="H9" s="170"/>
      <c r="I9" s="170"/>
      <c r="J9" s="205" t="s">
        <v>129</v>
      </c>
      <c r="K9" s="206" t="s">
        <v>350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4">
      <c r="A10" s="1"/>
      <c r="B10" s="131" t="s">
        <v>196</v>
      </c>
      <c r="C10" s="273" t="str">
        <f>IF(COUNT(C11:C17)=0,"",SUM(C11:C17))</f>
        <v/>
      </c>
      <c r="D10" s="273" t="str">
        <f t="shared" ref="D10:I10" si="3">IF(COUNT(D11:D17)=0,"",SUM(D11:D17))</f>
        <v/>
      </c>
      <c r="E10" s="273" t="str">
        <f t="shared" si="3"/>
        <v/>
      </c>
      <c r="F10" s="273" t="str">
        <f t="shared" si="3"/>
        <v/>
      </c>
      <c r="G10" s="273" t="str">
        <f t="shared" si="3"/>
        <v/>
      </c>
      <c r="H10" s="273" t="str">
        <f t="shared" si="3"/>
        <v/>
      </c>
      <c r="I10" s="273" t="str">
        <f t="shared" si="3"/>
        <v/>
      </c>
      <c r="J10" s="272" t="str">
        <f>IF(ISERROR(G10-F10),"",G10-F10)</f>
        <v/>
      </c>
      <c r="K10" s="171" t="str">
        <f>IFERROR(J10/ABS(F10),"")</f>
        <v/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x14ac:dyDescent="0.4">
      <c r="A11" s="1"/>
      <c r="B11" s="494" t="s">
        <v>458</v>
      </c>
      <c r="C11" s="254"/>
      <c r="D11" s="254"/>
      <c r="E11" s="254"/>
      <c r="F11" s="254"/>
      <c r="G11" s="254"/>
      <c r="H11" s="254"/>
      <c r="I11" s="254"/>
      <c r="J11" s="250" t="str">
        <f>IF(AND(F11="",G11=""),"",IF(ISERROR(G11-F11),"",G11-F11))</f>
        <v/>
      </c>
      <c r="K11" s="167" t="str">
        <f>IFERROR(J11/ABS(F11),"")</f>
        <v/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x14ac:dyDescent="0.4">
      <c r="A12" s="1"/>
      <c r="B12" s="494" t="s">
        <v>197</v>
      </c>
      <c r="C12" s="254"/>
      <c r="D12" s="254"/>
      <c r="E12" s="254"/>
      <c r="F12" s="254"/>
      <c r="G12" s="254"/>
      <c r="H12" s="254"/>
      <c r="I12" s="254"/>
      <c r="J12" s="250" t="str">
        <f t="shared" ref="J12:J17" si="4">IF(AND(F12="",G12=""),"",IF(ISERROR(G12-F12),"",G12-F12))</f>
        <v/>
      </c>
      <c r="K12" s="167" t="str">
        <f t="shared" ref="K12:K17" si="5">IFERROR(J12/ABS(F12),"")</f>
        <v/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x14ac:dyDescent="0.4">
      <c r="A13" s="1"/>
      <c r="B13" s="494" t="s">
        <v>198</v>
      </c>
      <c r="C13" s="254"/>
      <c r="D13" s="254"/>
      <c r="E13" s="254"/>
      <c r="F13" s="254"/>
      <c r="G13" s="254"/>
      <c r="H13" s="254"/>
      <c r="I13" s="254"/>
      <c r="J13" s="250" t="str">
        <f t="shared" si="4"/>
        <v/>
      </c>
      <c r="K13" s="167" t="str">
        <f t="shared" si="5"/>
        <v/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x14ac:dyDescent="0.4">
      <c r="A14" s="1"/>
      <c r="B14" s="494" t="s">
        <v>199</v>
      </c>
      <c r="C14" s="254"/>
      <c r="D14" s="254"/>
      <c r="E14" s="254"/>
      <c r="F14" s="254"/>
      <c r="G14" s="254"/>
      <c r="H14" s="254"/>
      <c r="I14" s="254"/>
      <c r="J14" s="250" t="str">
        <f t="shared" si="4"/>
        <v/>
      </c>
      <c r="K14" s="167" t="str">
        <f t="shared" si="5"/>
        <v/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x14ac:dyDescent="0.4">
      <c r="A15" s="1"/>
      <c r="B15" s="494" t="s">
        <v>200</v>
      </c>
      <c r="C15" s="254"/>
      <c r="D15" s="254"/>
      <c r="E15" s="254"/>
      <c r="F15" s="254"/>
      <c r="G15" s="254"/>
      <c r="H15" s="254"/>
      <c r="I15" s="254"/>
      <c r="J15" s="250" t="str">
        <f t="shared" si="4"/>
        <v/>
      </c>
      <c r="K15" s="167" t="str">
        <f t="shared" si="5"/>
        <v/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x14ac:dyDescent="0.4">
      <c r="A16" s="1"/>
      <c r="B16" s="494" t="s">
        <v>201</v>
      </c>
      <c r="C16" s="254"/>
      <c r="D16" s="254"/>
      <c r="E16" s="254"/>
      <c r="F16" s="254"/>
      <c r="G16" s="254"/>
      <c r="H16" s="254"/>
      <c r="I16" s="254"/>
      <c r="J16" s="250" t="str">
        <f t="shared" si="4"/>
        <v/>
      </c>
      <c r="K16" s="167" t="str">
        <f t="shared" si="5"/>
        <v/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x14ac:dyDescent="0.4">
      <c r="A17" s="1"/>
      <c r="B17" s="494" t="s">
        <v>202</v>
      </c>
      <c r="C17" s="254"/>
      <c r="D17" s="254"/>
      <c r="E17" s="254"/>
      <c r="F17" s="254"/>
      <c r="G17" s="254"/>
      <c r="H17" s="254"/>
      <c r="I17" s="254"/>
      <c r="J17" s="250" t="str">
        <f t="shared" si="4"/>
        <v/>
      </c>
      <c r="K17" s="167" t="str">
        <f t="shared" si="5"/>
        <v/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x14ac:dyDescent="0.4">
      <c r="A18" s="1"/>
      <c r="B18" s="122"/>
      <c r="C18" s="170"/>
      <c r="D18" s="170"/>
      <c r="E18" s="170"/>
      <c r="F18" s="170"/>
      <c r="G18" s="170"/>
      <c r="H18" s="170"/>
      <c r="I18" s="170"/>
      <c r="J18" s="170"/>
      <c r="K18" s="17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x14ac:dyDescent="0.4">
      <c r="A19" s="1"/>
      <c r="B19" s="130" t="s">
        <v>203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x14ac:dyDescent="0.4">
      <c r="A20" s="1"/>
      <c r="B20" s="494" t="s">
        <v>482</v>
      </c>
      <c r="C20" s="254"/>
      <c r="D20" s="254"/>
      <c r="E20" s="254"/>
      <c r="F20" s="254"/>
      <c r="G20" s="254"/>
      <c r="H20" s="254"/>
      <c r="I20" s="254"/>
      <c r="J20" s="250" t="str">
        <f>IF(AND(F20="",G20=""),"",IF(ISERROR(G20-F20),"",G20-F20))</f>
        <v/>
      </c>
      <c r="K20" s="167" t="str">
        <f>IFERROR(J20/ABS(F20),"")</f>
        <v/>
      </c>
      <c r="L20" s="6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x14ac:dyDescent="0.4">
      <c r="A21" s="1"/>
      <c r="B21" s="494" t="s">
        <v>204</v>
      </c>
      <c r="C21" s="254"/>
      <c r="D21" s="254"/>
      <c r="E21" s="254"/>
      <c r="F21" s="254"/>
      <c r="G21" s="254"/>
      <c r="H21" s="254"/>
      <c r="I21" s="254"/>
      <c r="J21" s="250" t="str">
        <f t="shared" ref="J21:J26" si="6">IF(AND(F21="",G21=""),"",IF(ISERROR(G21-F21),"",G21-F21))</f>
        <v/>
      </c>
      <c r="K21" s="167" t="str">
        <f t="shared" ref="K21:K26" si="7">IFERROR(J21/ABS(F21),"")</f>
        <v/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x14ac:dyDescent="0.4">
      <c r="A22" s="1"/>
      <c r="B22" s="494" t="s">
        <v>205</v>
      </c>
      <c r="C22" s="254"/>
      <c r="D22" s="254"/>
      <c r="E22" s="254"/>
      <c r="F22" s="254"/>
      <c r="G22" s="254"/>
      <c r="H22" s="254"/>
      <c r="I22" s="254"/>
      <c r="J22" s="250" t="str">
        <f t="shared" si="6"/>
        <v/>
      </c>
      <c r="K22" s="167" t="str">
        <f t="shared" si="7"/>
        <v/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x14ac:dyDescent="0.4">
      <c r="A23" s="1"/>
      <c r="B23" s="494" t="s">
        <v>318</v>
      </c>
      <c r="C23" s="254"/>
      <c r="D23" s="254"/>
      <c r="E23" s="254"/>
      <c r="F23" s="254"/>
      <c r="G23" s="254"/>
      <c r="H23" s="254"/>
      <c r="I23" s="254"/>
      <c r="J23" s="250" t="str">
        <f t="shared" si="6"/>
        <v/>
      </c>
      <c r="K23" s="167" t="str">
        <f t="shared" si="7"/>
        <v/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x14ac:dyDescent="0.4">
      <c r="A24" s="1"/>
      <c r="B24" s="494" t="s">
        <v>206</v>
      </c>
      <c r="C24" s="254"/>
      <c r="D24" s="254"/>
      <c r="E24" s="254"/>
      <c r="F24" s="254"/>
      <c r="G24" s="254"/>
      <c r="H24" s="254"/>
      <c r="I24" s="254"/>
      <c r="J24" s="250" t="str">
        <f t="shared" si="6"/>
        <v/>
      </c>
      <c r="K24" s="167" t="str">
        <f t="shared" si="7"/>
        <v/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x14ac:dyDescent="0.4">
      <c r="A25" s="1"/>
      <c r="B25" s="494" t="s">
        <v>207</v>
      </c>
      <c r="C25" s="254"/>
      <c r="D25" s="254"/>
      <c r="E25" s="254"/>
      <c r="F25" s="254"/>
      <c r="G25" s="254"/>
      <c r="H25" s="254"/>
      <c r="I25" s="254"/>
      <c r="J25" s="250" t="str">
        <f t="shared" si="6"/>
        <v/>
      </c>
      <c r="K25" s="167" t="str">
        <f t="shared" si="7"/>
        <v/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x14ac:dyDescent="0.4">
      <c r="A26" s="1"/>
      <c r="B26" s="494" t="s">
        <v>208</v>
      </c>
      <c r="C26" s="254"/>
      <c r="D26" s="254"/>
      <c r="E26" s="254"/>
      <c r="F26" s="254"/>
      <c r="G26" s="254"/>
      <c r="H26" s="254"/>
      <c r="I26" s="254"/>
      <c r="J26" s="250" t="str">
        <f t="shared" si="6"/>
        <v/>
      </c>
      <c r="K26" s="167" t="str">
        <f t="shared" si="7"/>
        <v/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x14ac:dyDescent="0.4">
      <c r="A27" s="1"/>
      <c r="B27" s="122"/>
      <c r="C27" s="170"/>
      <c r="D27" s="170"/>
      <c r="E27" s="170"/>
      <c r="F27" s="170"/>
      <c r="G27" s="170"/>
      <c r="H27" s="170"/>
      <c r="I27" s="170"/>
      <c r="J27" s="170"/>
      <c r="K27" s="170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x14ac:dyDescent="0.4">
      <c r="A28" s="1"/>
      <c r="B28" s="130" t="s">
        <v>209</v>
      </c>
      <c r="C28" s="129"/>
      <c r="D28" s="129"/>
      <c r="E28" s="129"/>
      <c r="F28" s="129"/>
      <c r="G28" s="129"/>
      <c r="H28" s="129"/>
      <c r="I28" s="129"/>
      <c r="J28" s="129"/>
      <c r="K28" s="129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x14ac:dyDescent="0.4">
      <c r="A29" s="1"/>
      <c r="B29" s="496" t="s">
        <v>210</v>
      </c>
      <c r="C29" s="266" t="str">
        <f>IF(C11="","",-C11)</f>
        <v/>
      </c>
      <c r="D29" s="266" t="str">
        <f t="shared" ref="D29:I29" si="8">IF(D11="","",-D11)</f>
        <v/>
      </c>
      <c r="E29" s="266" t="str">
        <f t="shared" si="8"/>
        <v/>
      </c>
      <c r="F29" s="266" t="str">
        <f t="shared" si="8"/>
        <v/>
      </c>
      <c r="G29" s="266" t="str">
        <f t="shared" si="8"/>
        <v/>
      </c>
      <c r="H29" s="266" t="str">
        <f t="shared" si="8"/>
        <v/>
      </c>
      <c r="I29" s="266" t="str">
        <f t="shared" si="8"/>
        <v/>
      </c>
      <c r="J29" s="250" t="str">
        <f>IF(ISERROR(G29-F29),"",G29-F29)</f>
        <v/>
      </c>
      <c r="K29" s="167" t="str">
        <f>IFERROR(J29/ABS(F29),"")</f>
        <v/>
      </c>
      <c r="L29" s="1"/>
      <c r="M29" s="64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x14ac:dyDescent="0.4">
      <c r="A30" s="1"/>
      <c r="B30" s="496" t="s">
        <v>211</v>
      </c>
      <c r="C30" s="266" t="str">
        <f>IF(C22="","",-C22)</f>
        <v/>
      </c>
      <c r="D30" s="266" t="str">
        <f t="shared" ref="D30:I30" si="9">IF(D22="","",-D22)</f>
        <v/>
      </c>
      <c r="E30" s="266" t="str">
        <f t="shared" si="9"/>
        <v/>
      </c>
      <c r="F30" s="266" t="str">
        <f t="shared" si="9"/>
        <v/>
      </c>
      <c r="G30" s="266" t="str">
        <f t="shared" si="9"/>
        <v/>
      </c>
      <c r="H30" s="266" t="str">
        <f t="shared" si="9"/>
        <v/>
      </c>
      <c r="I30" s="266" t="str">
        <f t="shared" si="9"/>
        <v/>
      </c>
      <c r="J30" s="250" t="str">
        <f>IF(AND(F30="",G30=""),"",IF(ISERROR(G30-F30),"",G30-F30))</f>
        <v/>
      </c>
      <c r="K30" s="167" t="str">
        <f t="shared" ref="K30:K33" si="10">IFERROR(J30/ABS(F30),"")</f>
        <v/>
      </c>
      <c r="L30" s="1"/>
      <c r="M30" s="64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x14ac:dyDescent="0.4">
      <c r="A31" s="1"/>
      <c r="B31" s="496" t="s">
        <v>212</v>
      </c>
      <c r="C31" s="266" t="str">
        <f>IF(C24="","",-C24)</f>
        <v/>
      </c>
      <c r="D31" s="266" t="str">
        <f t="shared" ref="D31:I31" si="11">IF(D24="","",-D24)</f>
        <v/>
      </c>
      <c r="E31" s="266" t="str">
        <f t="shared" si="11"/>
        <v/>
      </c>
      <c r="F31" s="266" t="str">
        <f t="shared" si="11"/>
        <v/>
      </c>
      <c r="G31" s="266" t="str">
        <f t="shared" si="11"/>
        <v/>
      </c>
      <c r="H31" s="266" t="str">
        <f t="shared" si="11"/>
        <v/>
      </c>
      <c r="I31" s="266" t="str">
        <f t="shared" si="11"/>
        <v/>
      </c>
      <c r="J31" s="250" t="str">
        <f t="shared" ref="J31:J33" si="12">IF(AND(F31="",G31=""),"",IF(ISERROR(G31-F31),"",G31-F31))</f>
        <v/>
      </c>
      <c r="K31" s="167" t="str">
        <f t="shared" si="10"/>
        <v/>
      </c>
      <c r="L31" s="1"/>
      <c r="M31" s="64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x14ac:dyDescent="0.4">
      <c r="A32" s="1"/>
      <c r="B32" s="496" t="s">
        <v>213</v>
      </c>
      <c r="C32" s="266" t="str">
        <f>IF(C26="","",-(C16-C26))</f>
        <v/>
      </c>
      <c r="D32" s="266" t="str">
        <f t="shared" ref="D32:I32" si="13">IF(D26="","",-(D16-D26))</f>
        <v/>
      </c>
      <c r="E32" s="266" t="str">
        <f t="shared" si="13"/>
        <v/>
      </c>
      <c r="F32" s="266" t="str">
        <f t="shared" si="13"/>
        <v/>
      </c>
      <c r="G32" s="266" t="str">
        <f t="shared" si="13"/>
        <v/>
      </c>
      <c r="H32" s="266" t="str">
        <f t="shared" si="13"/>
        <v/>
      </c>
      <c r="I32" s="266" t="str">
        <f t="shared" si="13"/>
        <v/>
      </c>
      <c r="J32" s="250" t="str">
        <f t="shared" si="12"/>
        <v/>
      </c>
      <c r="K32" s="167" t="str">
        <f t="shared" si="10"/>
        <v/>
      </c>
      <c r="L32" s="1"/>
      <c r="M32" s="6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x14ac:dyDescent="0.4">
      <c r="A33" s="1"/>
      <c r="B33" s="496" t="s">
        <v>214</v>
      </c>
      <c r="C33" s="254"/>
      <c r="D33" s="254"/>
      <c r="E33" s="254"/>
      <c r="F33" s="254"/>
      <c r="G33" s="254"/>
      <c r="H33" s="254"/>
      <c r="I33" s="254"/>
      <c r="J33" s="212" t="str">
        <f t="shared" si="12"/>
        <v/>
      </c>
      <c r="K33" s="167" t="str">
        <f t="shared" si="10"/>
        <v/>
      </c>
      <c r="L33" s="1"/>
      <c r="M33" s="64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x14ac:dyDescent="0.4">
      <c r="A34" s="1"/>
      <c r="B34" s="122"/>
      <c r="C34" s="170"/>
      <c r="D34" s="170"/>
      <c r="E34" s="170"/>
      <c r="F34" s="170"/>
      <c r="G34" s="170"/>
      <c r="H34" s="170"/>
      <c r="I34" s="170"/>
      <c r="J34" s="170"/>
      <c r="K34" s="170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5" customHeight="1" x14ac:dyDescent="0.4">
      <c r="A35" s="1"/>
      <c r="B35" s="497" t="s">
        <v>215</v>
      </c>
      <c r="C35" s="275" t="str">
        <f>IFERROR(C10+SUM(C29:C33),"")</f>
        <v/>
      </c>
      <c r="D35" s="275" t="str">
        <f>IFERROR(D10+SUM(D29:D33),"")</f>
        <v/>
      </c>
      <c r="E35" s="275" t="str">
        <f t="shared" ref="E35:I35" si="14">IFERROR(E10+SUM(E29:E33),"")</f>
        <v/>
      </c>
      <c r="F35" s="275" t="str">
        <f t="shared" si="14"/>
        <v/>
      </c>
      <c r="G35" s="275" t="str">
        <f t="shared" si="14"/>
        <v/>
      </c>
      <c r="H35" s="275" t="str">
        <f t="shared" si="14"/>
        <v/>
      </c>
      <c r="I35" s="275" t="str">
        <f t="shared" si="14"/>
        <v/>
      </c>
      <c r="J35" s="274" t="str">
        <f>IF(ISERROR(G35-F35),"",G35-F35)</f>
        <v/>
      </c>
      <c r="K35" s="172" t="str">
        <f>IFERROR(J35/ABS(F35),"")</f>
        <v/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3.75" customHeight="1" x14ac:dyDescent="0.4">
      <c r="A36" s="1"/>
      <c r="B36" s="600" t="s">
        <v>483</v>
      </c>
      <c r="C36" s="601"/>
      <c r="D36" s="601"/>
      <c r="E36" s="601"/>
      <c r="F36" s="601"/>
      <c r="G36" s="601"/>
      <c r="H36" s="601"/>
      <c r="I36" s="601"/>
      <c r="J36" s="601"/>
      <c r="K36" s="60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8.15" customHeight="1" x14ac:dyDescent="0.4">
      <c r="A37" s="1"/>
      <c r="B37" s="603"/>
      <c r="C37" s="604"/>
      <c r="D37" s="604"/>
      <c r="E37" s="604"/>
      <c r="F37" s="604"/>
      <c r="G37" s="604"/>
      <c r="H37" s="604"/>
      <c r="I37" s="604"/>
      <c r="J37" s="604"/>
      <c r="K37" s="60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x14ac:dyDescent="0.4">
      <c r="A38" s="1"/>
      <c r="B38" s="497" t="s">
        <v>484</v>
      </c>
      <c r="C38" s="173" t="str">
        <f>IFERROR(C13/C35,"")</f>
        <v/>
      </c>
      <c r="D38" s="173" t="str">
        <f t="shared" ref="D38:I38" si="15">IFERROR(D13/D35,"")</f>
        <v/>
      </c>
      <c r="E38" s="173" t="str">
        <f t="shared" si="15"/>
        <v/>
      </c>
      <c r="F38" s="173" t="str">
        <f>IFERROR(F13/F35,"")</f>
        <v/>
      </c>
      <c r="G38" s="173" t="str">
        <f t="shared" si="15"/>
        <v/>
      </c>
      <c r="H38" s="173" t="str">
        <f t="shared" si="15"/>
        <v/>
      </c>
      <c r="I38" s="173" t="str">
        <f t="shared" si="15"/>
        <v/>
      </c>
      <c r="J38" s="596" t="str">
        <f>IF(AND(F38="",G38=""),"",IF(ISERROR(G38-F38),"",ROUND((G38-F38)*100,1)&amp;"p.p."))</f>
        <v/>
      </c>
      <c r="K38" s="59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x14ac:dyDescent="0.4">
      <c r="A39" s="1"/>
      <c r="B39" s="497" t="s">
        <v>216</v>
      </c>
      <c r="C39" s="173" t="str">
        <f>IFERROR(C12/C35,"")</f>
        <v/>
      </c>
      <c r="D39" s="173" t="str">
        <f t="shared" ref="D39:I39" si="16">IFERROR(D12/D35,"")</f>
        <v/>
      </c>
      <c r="E39" s="173" t="str">
        <f t="shared" si="16"/>
        <v/>
      </c>
      <c r="F39" s="173" t="str">
        <f t="shared" si="16"/>
        <v/>
      </c>
      <c r="G39" s="173" t="str">
        <f>IFERROR(G12/G35,"")</f>
        <v/>
      </c>
      <c r="H39" s="173" t="str">
        <f t="shared" si="16"/>
        <v/>
      </c>
      <c r="I39" s="173" t="str">
        <f t="shared" si="16"/>
        <v/>
      </c>
      <c r="J39" s="596" t="str">
        <f t="shared" ref="J39:J40" si="17">IF(AND(F39="",G39=""),"",IF(ISERROR(G39-F39),"",ROUND((G39-F39)*100,1)&amp;"p.p."))</f>
        <v/>
      </c>
      <c r="K39" s="59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x14ac:dyDescent="0.4">
      <c r="A40" s="1"/>
      <c r="B40" s="497" t="s">
        <v>217</v>
      </c>
      <c r="C40" s="173" t="str">
        <f>IFERROR(C11/C35,"")</f>
        <v/>
      </c>
      <c r="D40" s="173" t="str">
        <f t="shared" ref="D40:I40" si="18">IFERROR(D11/D35,"")</f>
        <v/>
      </c>
      <c r="E40" s="173" t="str">
        <f t="shared" si="18"/>
        <v/>
      </c>
      <c r="F40" s="173" t="str">
        <f t="shared" si="18"/>
        <v/>
      </c>
      <c r="G40" s="173" t="str">
        <f t="shared" si="18"/>
        <v/>
      </c>
      <c r="H40" s="173" t="str">
        <f t="shared" si="18"/>
        <v/>
      </c>
      <c r="I40" s="173" t="str">
        <f t="shared" si="18"/>
        <v/>
      </c>
      <c r="J40" s="596" t="str">
        <f t="shared" si="17"/>
        <v/>
      </c>
      <c r="K40" s="59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x14ac:dyDescent="0.4">
      <c r="A41" s="1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x14ac:dyDescent="0.4">
      <c r="A42" s="1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x14ac:dyDescent="0.4">
      <c r="A43" s="1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x14ac:dyDescent="0.4">
      <c r="A44" s="1"/>
      <c r="B44" s="56" t="s">
        <v>218</v>
      </c>
      <c r="C44" s="70" t="str">
        <f>IFERROR(-C10-GASTOS_PESSOAL_2024,"-")</f>
        <v>-</v>
      </c>
      <c r="D44" s="70" t="str">
        <f>IFERROR(-D10-GASTOS_PESSOAL_2025,"-")</f>
        <v>-</v>
      </c>
      <c r="E44" s="70" t="str">
        <f>IFERROR(-E10-GASTOS_PESSOAL_2026PAO,"-")</f>
        <v>-</v>
      </c>
      <c r="F44" s="70" t="str">
        <f>IFERROR(-F10-GASTOS_PESSOAL_2026E,"-")</f>
        <v>-</v>
      </c>
      <c r="G44" s="70" t="str">
        <f>IFERROR(-G10-GASTOS_PESSOAL_2027,"-")</f>
        <v>-</v>
      </c>
      <c r="H44" s="70" t="str">
        <f>IFERROR(-H10-GASTOS_PESSOAL_2028,"-")</f>
        <v>-</v>
      </c>
      <c r="I44" s="70" t="str">
        <f>IFERROR(-I10-GASTOS_PESSOAL_2029,"-")</f>
        <v>-</v>
      </c>
      <c r="J44" s="55"/>
      <c r="K44" s="5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x14ac:dyDescent="0.4">
      <c r="A45" s="1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x14ac:dyDescent="0.4">
      <c r="A46" s="1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idden="1" x14ac:dyDescent="0.4">
      <c r="A47" s="1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idden="1" x14ac:dyDescent="0.4">
      <c r="A48" s="1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idden="1" x14ac:dyDescent="0.4">
      <c r="A49" s="1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idden="1" x14ac:dyDescent="0.4">
      <c r="A50" s="1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idden="1" x14ac:dyDescent="0.4">
      <c r="A51" s="1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idden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idden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idden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idden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idden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idden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idden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idden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idden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idden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idden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idden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idden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idden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idden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idden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idden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idden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idden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idden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idden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idden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idden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idden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idden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idden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idden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idden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idden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idden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idden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idden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idden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idden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idden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idden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idden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idden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idden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idden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idden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idden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idden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idden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idden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idden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idden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idden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idden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idden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idden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idden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idden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idden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idden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idden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idden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idden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idden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idden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idden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47" hidden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</row>
    <row r="114" spans="1:47" hidden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</row>
    <row r="115" spans="1:47" hidden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</row>
    <row r="116" spans="1:47" hidden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</row>
    <row r="117" spans="1:47" hidden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</row>
    <row r="118" spans="1:47" hidden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</row>
    <row r="119" spans="1:47" hidden="1" x14ac:dyDescent="0.4">
      <c r="A119" s="1"/>
    </row>
    <row r="120" spans="1:47" hidden="1" x14ac:dyDescent="0.4">
      <c r="A120" s="1"/>
    </row>
  </sheetData>
  <sheetProtection selectLockedCells="1"/>
  <mergeCells count="7">
    <mergeCell ref="J39:K39"/>
    <mergeCell ref="J40:K40"/>
    <mergeCell ref="J3:K3"/>
    <mergeCell ref="B3:B4"/>
    <mergeCell ref="B36:K36"/>
    <mergeCell ref="B37:K37"/>
    <mergeCell ref="J38:K38"/>
  </mergeCells>
  <dataValidations count="4">
    <dataValidation allowBlank="1" showInputMessage="1" showErrorMessage="1" errorTitle="Erro" error="Não introduzir dados nesta célula" sqref="B44" xr:uid="{2A06EDBE-B1DE-4BAB-B704-E044CBAC9D13}"/>
    <dataValidation type="whole" operator="greaterThanOrEqual" allowBlank="1" showInputMessage="1" showErrorMessage="1" error="Introduzir valor igual ou superior a zero" sqref="C6:I8" xr:uid="{34C3DCF8-3EA0-4E98-AAE4-E7023EE170D4}">
      <formula1>0</formula1>
    </dataValidation>
    <dataValidation type="decimal" operator="greaterThanOrEqual" allowBlank="1" showInputMessage="1" showErrorMessage="1" error="Introduzir nº decimal igual ou superior a zero_x000a_" sqref="C11:I17" xr:uid="{AAE028E8-C6C4-465E-8FEE-8275E1E62662}">
      <formula1>0</formula1>
    </dataValidation>
    <dataValidation type="decimal" operator="greaterThanOrEqual" allowBlank="1" showInputMessage="1" showErrorMessage="1" error="Introduzir nº igual ou superior a zero_x000a_" sqref="C20:I26" xr:uid="{3B98F764-C7AD-4615-B9FF-5503BF7D29A7}">
      <formula1>0</formula1>
    </dataValidation>
  </dataValidations>
  <pageMargins left="0.7" right="0.7" top="0.75" bottom="0.75" header="0.3" footer="0.3"/>
  <ignoredErrors>
    <ignoredError sqref="J30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245</vt:i4>
      </vt:variant>
    </vt:vector>
  </HeadingPairs>
  <TitlesOfParts>
    <vt:vector size="260" baseType="lpstr">
      <vt:lpstr>Índice</vt:lpstr>
      <vt:lpstr>Instruções</vt:lpstr>
      <vt:lpstr>Resumo</vt:lpstr>
      <vt:lpstr>BAL</vt:lpstr>
      <vt:lpstr>DR</vt:lpstr>
      <vt:lpstr>DFC</vt:lpstr>
      <vt:lpstr>DFC vs ORAM</vt:lpstr>
      <vt:lpstr>Investimentos</vt:lpstr>
      <vt:lpstr>Quadro RH1</vt:lpstr>
      <vt:lpstr>Quadro RH2</vt:lpstr>
      <vt:lpstr>Avenças</vt:lpstr>
      <vt:lpstr>Eficiência Operacional</vt:lpstr>
      <vt:lpstr>Outros</vt:lpstr>
      <vt:lpstr>Rácios Econ. e financ.</vt:lpstr>
      <vt:lpstr>Verificação</vt:lpstr>
      <vt:lpstr>ARREARS_2024</vt:lpstr>
      <vt:lpstr>ARREARS_2025</vt:lpstr>
      <vt:lpstr>ARREARS_2026E</vt:lpstr>
      <vt:lpstr>ARREARS_2027</vt:lpstr>
      <vt:lpstr>ARREARS_2028</vt:lpstr>
      <vt:lpstr>ARREARS_2029</vt:lpstr>
      <vt:lpstr>ARREARS_PAO2026</vt:lpstr>
      <vt:lpstr>ATIVO_1T2027</vt:lpstr>
      <vt:lpstr>Ativo_2024</vt:lpstr>
      <vt:lpstr>ATIVO_2025</vt:lpstr>
      <vt:lpstr>ATIVO_2026E</vt:lpstr>
      <vt:lpstr>ATIVO_2026PAO</vt:lpstr>
      <vt:lpstr>ATIVO_2027</vt:lpstr>
      <vt:lpstr>ATIVO_2028</vt:lpstr>
      <vt:lpstr>ATIVO_2029</vt:lpstr>
      <vt:lpstr>ATIVO_2T2027</vt:lpstr>
      <vt:lpstr>ATIVO_3T2027</vt:lpstr>
      <vt:lpstr>ATIVO_CORRENTE_1T2027</vt:lpstr>
      <vt:lpstr>ATIVO_CORRENTE_2024</vt:lpstr>
      <vt:lpstr>ATIVO_CORRENTE_2025</vt:lpstr>
      <vt:lpstr>ATIVO_CORRENTE_2026E</vt:lpstr>
      <vt:lpstr>ATIVO_CORRENTE_2026PAO</vt:lpstr>
      <vt:lpstr>ATIVO_CORRENTE_2027</vt:lpstr>
      <vt:lpstr>ATIVO_CORRENTE_2028</vt:lpstr>
      <vt:lpstr>ATIVO_CORRENTE_2029</vt:lpstr>
      <vt:lpstr>ATIVO_CORRENTE_2T2027</vt:lpstr>
      <vt:lpstr>ATIVO_CORRENTE_3T2027</vt:lpstr>
      <vt:lpstr>ATIVO_NÃO_CORRENTE_1T2027</vt:lpstr>
      <vt:lpstr>ATIVO_NÃO_CORRENTE_2024</vt:lpstr>
      <vt:lpstr>ATIVO_NÃO_CORRENTE_2025</vt:lpstr>
      <vt:lpstr>ATIVO_NÃO_CORRENTE_2026E</vt:lpstr>
      <vt:lpstr>ATIVO_NÃO_CORRENTE_2026PAO</vt:lpstr>
      <vt:lpstr>ATIVO_NÃO_CORRENTE_2027</vt:lpstr>
      <vt:lpstr>ATIVO_NÃO_CORRENTE_2028</vt:lpstr>
      <vt:lpstr>ATIVO_NÃO_CORRENTE_2029</vt:lpstr>
      <vt:lpstr>ATIVO_NÃO_CORRENTE_2T2027</vt:lpstr>
      <vt:lpstr>ATIVO_NÃO_CORRENTE_3T2027</vt:lpstr>
      <vt:lpstr>CAIXA_DFC_1T2027</vt:lpstr>
      <vt:lpstr>CAIXA_DFC_2024</vt:lpstr>
      <vt:lpstr>CAIXA_DFC_2025</vt:lpstr>
      <vt:lpstr>CAIXA_DFC_2026E</vt:lpstr>
      <vt:lpstr>CAIXA_DFC_2026PAO</vt:lpstr>
      <vt:lpstr>CAIXA_DFC_2027</vt:lpstr>
      <vt:lpstr>CAIXA_DFC_2028</vt:lpstr>
      <vt:lpstr>CAIXA_DFC_2029</vt:lpstr>
      <vt:lpstr>CAIXA_DFC_2T2027</vt:lpstr>
      <vt:lpstr>CAIXA_DFC_3T2027</vt:lpstr>
      <vt:lpstr>CMVMC_1T2027</vt:lpstr>
      <vt:lpstr>CMVMC_2024</vt:lpstr>
      <vt:lpstr>CMVMC_2025</vt:lpstr>
      <vt:lpstr>CMVMC_2026E</vt:lpstr>
      <vt:lpstr>CMVMC_2026PAO</vt:lpstr>
      <vt:lpstr>CMVMC_2027</vt:lpstr>
      <vt:lpstr>CMVMC_2028</vt:lpstr>
      <vt:lpstr>CMVMC_2029</vt:lpstr>
      <vt:lpstr>CMVMC_2T2027</vt:lpstr>
      <vt:lpstr>CMVMC_3T2027</vt:lpstr>
      <vt:lpstr>DISPONIBILIDADES_1T2027</vt:lpstr>
      <vt:lpstr>DISPONIBILIDADES_2024</vt:lpstr>
      <vt:lpstr>DISPONIBILIDADES_2025</vt:lpstr>
      <vt:lpstr>DISPONIBILIDADES_2026E</vt:lpstr>
      <vt:lpstr>DISPONIBILIDADES_2026PAO</vt:lpstr>
      <vt:lpstr>DISPONIBILIDADES_2027</vt:lpstr>
      <vt:lpstr>DISPONIBILIDADES_2028</vt:lpstr>
      <vt:lpstr>DISPONIBILIDADES_2029</vt:lpstr>
      <vt:lpstr>DISPONIBILIDADES_2T2027</vt:lpstr>
      <vt:lpstr>DISPONIBILIDADES_3T2027</vt:lpstr>
      <vt:lpstr>EBIT_1T2027</vt:lpstr>
      <vt:lpstr>EBIT_2024</vt:lpstr>
      <vt:lpstr>EBIT_2025</vt:lpstr>
      <vt:lpstr>EBIT_2026E</vt:lpstr>
      <vt:lpstr>EBIT_2026PAO</vt:lpstr>
      <vt:lpstr>EBIT_2027</vt:lpstr>
      <vt:lpstr>EBIT_2028</vt:lpstr>
      <vt:lpstr>EBIT_2029</vt:lpstr>
      <vt:lpstr>EBIT_2T2027</vt:lpstr>
      <vt:lpstr>EBIT_3T2027</vt:lpstr>
      <vt:lpstr>EBITDA_1T2027</vt:lpstr>
      <vt:lpstr>EBITDA_2024</vt:lpstr>
      <vt:lpstr>EBITDA_2025</vt:lpstr>
      <vt:lpstr>EBITDA_2026E</vt:lpstr>
      <vt:lpstr>EBITDA_2026PAO</vt:lpstr>
      <vt:lpstr>EBITDA_2027</vt:lpstr>
      <vt:lpstr>EBITDA_2028</vt:lpstr>
      <vt:lpstr>EBITDA_2029</vt:lpstr>
      <vt:lpstr>EBITDA_2T2027</vt:lpstr>
      <vt:lpstr>EBITDA_3T2027</vt:lpstr>
      <vt:lpstr>FO_PC_1T2027</vt:lpstr>
      <vt:lpstr>FO_PC_2024</vt:lpstr>
      <vt:lpstr>FO_PC_2025</vt:lpstr>
      <vt:lpstr>FO_PC_2026E</vt:lpstr>
      <vt:lpstr>FO_PC_2026PAO</vt:lpstr>
      <vt:lpstr>FO_PC_2027</vt:lpstr>
      <vt:lpstr>FO_PC_2028</vt:lpstr>
      <vt:lpstr>FO_PC_2029</vt:lpstr>
      <vt:lpstr>FO_PC_2T2027</vt:lpstr>
      <vt:lpstr>FO_PC_3T2027</vt:lpstr>
      <vt:lpstr>FO_PNC_1T2027</vt:lpstr>
      <vt:lpstr>FO_PNC_2024</vt:lpstr>
      <vt:lpstr>FO_PNC_2025</vt:lpstr>
      <vt:lpstr>FO_PNC_2026E</vt:lpstr>
      <vt:lpstr>FO_PNC_2026PAO</vt:lpstr>
      <vt:lpstr>FO_PNC_2027</vt:lpstr>
      <vt:lpstr>FO_PNC_2028</vt:lpstr>
      <vt:lpstr>FO_PNC_2029</vt:lpstr>
      <vt:lpstr>FO_PNC_2T2027</vt:lpstr>
      <vt:lpstr>FO_PNC_3T2027</vt:lpstr>
      <vt:lpstr>FSE_1T2027</vt:lpstr>
      <vt:lpstr>FSE_2024</vt:lpstr>
      <vt:lpstr>FSE_2025</vt:lpstr>
      <vt:lpstr>FSE_2026E</vt:lpstr>
      <vt:lpstr>FSE_2026PAO</vt:lpstr>
      <vt:lpstr>FSE_2027</vt:lpstr>
      <vt:lpstr>FSE_2028</vt:lpstr>
      <vt:lpstr>FSE_2029</vt:lpstr>
      <vt:lpstr>FSE_2T2027</vt:lpstr>
      <vt:lpstr>FSE_3T2027</vt:lpstr>
      <vt:lpstr>Gastos_com_órgãos_sociais_2024</vt:lpstr>
      <vt:lpstr>Gastos_com_órgãos_sociais_2025</vt:lpstr>
      <vt:lpstr>Gastos_com_órgãos_sociais_2026E</vt:lpstr>
      <vt:lpstr>Gastos_com_órgãos_sociais_2026PAO</vt:lpstr>
      <vt:lpstr>Gastos_com_órgãos_sociais_2027</vt:lpstr>
      <vt:lpstr>Gastos_com_órgãos_sociais_2028</vt:lpstr>
      <vt:lpstr>Gastos_com_órgãos_sociais_2029</vt:lpstr>
      <vt:lpstr>GASTOS_PESSOAL_1T2027</vt:lpstr>
      <vt:lpstr>GASTOS_PESSOAL_2024</vt:lpstr>
      <vt:lpstr>GASTOS_PESSOAL_2025</vt:lpstr>
      <vt:lpstr>GASTOS_PESSOAL_2026E</vt:lpstr>
      <vt:lpstr>GASTOS_PESSOAL_2026PAO</vt:lpstr>
      <vt:lpstr>GASTOS_PESSOAL_2027</vt:lpstr>
      <vt:lpstr>GASTOS_PESSOAL_2028</vt:lpstr>
      <vt:lpstr>GASTOS_PESSOAL_2029</vt:lpstr>
      <vt:lpstr>GASTOS_PESSOAL_2T2027</vt:lpstr>
      <vt:lpstr>GASTOS_PESSOAL_3T2027</vt:lpstr>
      <vt:lpstr>GO_2024</vt:lpstr>
      <vt:lpstr>GO_2025</vt:lpstr>
      <vt:lpstr>GO_2026E</vt:lpstr>
      <vt:lpstr>GO_2027</vt:lpstr>
      <vt:lpstr>GO_2028</vt:lpstr>
      <vt:lpstr>GO_2029</vt:lpstr>
      <vt:lpstr>GO_PAO2026</vt:lpstr>
      <vt:lpstr>PASSIVO_1T2027</vt:lpstr>
      <vt:lpstr>PASSIVO_2024</vt:lpstr>
      <vt:lpstr>PASSIVO_2025</vt:lpstr>
      <vt:lpstr>PASSIVO_2026E</vt:lpstr>
      <vt:lpstr>PASSIVO_2026PAO</vt:lpstr>
      <vt:lpstr>PASSIVO_2027</vt:lpstr>
      <vt:lpstr>PASSIVO_2028</vt:lpstr>
      <vt:lpstr>PASSIVO_2029</vt:lpstr>
      <vt:lpstr>PASSIVO_2T2027</vt:lpstr>
      <vt:lpstr>PASSIVO_3T2027</vt:lpstr>
      <vt:lpstr>PASSIVO_CORRENTE_1T2027</vt:lpstr>
      <vt:lpstr>PASSIVO_CORRENTE_2024</vt:lpstr>
      <vt:lpstr>PASSIVO_CORRENTE_2025</vt:lpstr>
      <vt:lpstr>PASSIVO_CORRENTE_2026E</vt:lpstr>
      <vt:lpstr>PASSIVO_CORRENTE_2026PAO</vt:lpstr>
      <vt:lpstr>PASSIVO_CORRENTE_2027</vt:lpstr>
      <vt:lpstr>PASSIVO_CORRENTE_2028</vt:lpstr>
      <vt:lpstr>PASSIVO_CORRENTE_2029</vt:lpstr>
      <vt:lpstr>PASSIVO_CORRENTE_3T2027</vt:lpstr>
      <vt:lpstr>PASSIVO_CORRRENTE_2T2027</vt:lpstr>
      <vt:lpstr>PASSIVO_NÃO_CORRENTE_1T2027</vt:lpstr>
      <vt:lpstr>PASSIVO_NÃO_CORRENTE_2024</vt:lpstr>
      <vt:lpstr>PASSIVO_NÃO_CORRENTE_2025</vt:lpstr>
      <vt:lpstr>PASSIVO_NÃO_CORRENTE_2026E</vt:lpstr>
      <vt:lpstr>PASSIVO_NÃO_CORRENTE_2026PAO</vt:lpstr>
      <vt:lpstr>PASSIVO_NÃO_CORRENTE_2027</vt:lpstr>
      <vt:lpstr>PASSIVO_NÃO_CORRENTE_2028</vt:lpstr>
      <vt:lpstr>PASSIVO_NÃO_CORRENTE_2029</vt:lpstr>
      <vt:lpstr>PASSIVO_NÃO_CORRENTE_2T2027</vt:lpstr>
      <vt:lpstr>PASSIVO_NÃO_CORRENTE_3T2027</vt:lpstr>
      <vt:lpstr>PATRIMÓNIO_1T2027</vt:lpstr>
      <vt:lpstr>PATRIMÓNIO_2024</vt:lpstr>
      <vt:lpstr>PATRIMÓNIO_2025</vt:lpstr>
      <vt:lpstr>PATRIMÓNIO_2026E</vt:lpstr>
      <vt:lpstr>PATRIMÓNIO_2026PAO</vt:lpstr>
      <vt:lpstr>PATRIMÓNIO_2027</vt:lpstr>
      <vt:lpstr>PATRIMÓNIO_2028</vt:lpstr>
      <vt:lpstr>PATRIMÓNIO_2029</vt:lpstr>
      <vt:lpstr>PATRIMÓNIO_2T2027</vt:lpstr>
      <vt:lpstr>PATRIMÓNIO_3T2027</vt:lpstr>
      <vt:lpstr>PATRIMÓNIO_LÍQUIDO_1T2027</vt:lpstr>
      <vt:lpstr>PATRIMÓNIO_LÍQUIDO_2024</vt:lpstr>
      <vt:lpstr>PATRIMÓNIO_LÍQUIDO_2025</vt:lpstr>
      <vt:lpstr>PATRIMÓNIO_LÍQUIDO_2026E</vt:lpstr>
      <vt:lpstr>PATRIMÓNIO_LÍQUIDO_2026PAO</vt:lpstr>
      <vt:lpstr>PATRIMÓNIO_LÍQUIDO_2027</vt:lpstr>
      <vt:lpstr>PATRIMÓNIO_LÍQUIDO_2028</vt:lpstr>
      <vt:lpstr>PATRIMÓNIO_LÍQUIDO_2029</vt:lpstr>
      <vt:lpstr>PATRIMÓNIO_LÍQUIDO_2T2027</vt:lpstr>
      <vt:lpstr>PATRIMÓNIO_LÍQUIDO_3T2027</vt:lpstr>
      <vt:lpstr>PMP_2024</vt:lpstr>
      <vt:lpstr>PMP_2025</vt:lpstr>
      <vt:lpstr>PMP_2026E</vt:lpstr>
      <vt:lpstr>PMP_2026PAO</vt:lpstr>
      <vt:lpstr>PMP_2027</vt:lpstr>
      <vt:lpstr>PMP_2028</vt:lpstr>
      <vt:lpstr>PMP_2029</vt:lpstr>
      <vt:lpstr>RAI_1T2027</vt:lpstr>
      <vt:lpstr>RAI_2024</vt:lpstr>
      <vt:lpstr>RAI_2025</vt:lpstr>
      <vt:lpstr>RAI_2026E</vt:lpstr>
      <vt:lpstr>RAI_2027</vt:lpstr>
      <vt:lpstr>RAI_2028</vt:lpstr>
      <vt:lpstr>RAI_2029</vt:lpstr>
      <vt:lpstr>RAI_2T2027</vt:lpstr>
      <vt:lpstr>RAI_3T2027</vt:lpstr>
      <vt:lpstr>RAI_PAO2026</vt:lpstr>
      <vt:lpstr>RL_1T2027</vt:lpstr>
      <vt:lpstr>RL_2024</vt:lpstr>
      <vt:lpstr>RL_2025</vt:lpstr>
      <vt:lpstr>RL_2026E</vt:lpstr>
      <vt:lpstr>RL_2026PAO</vt:lpstr>
      <vt:lpstr>RL_2027</vt:lpstr>
      <vt:lpstr>RL_2028</vt:lpstr>
      <vt:lpstr>RL_2029</vt:lpstr>
      <vt:lpstr>RL_2T2027</vt:lpstr>
      <vt:lpstr>RL_3T2027</vt:lpstr>
      <vt:lpstr>RL_BAL_1T2027</vt:lpstr>
      <vt:lpstr>RL_BAL_2024</vt:lpstr>
      <vt:lpstr>RL_BAL_2025</vt:lpstr>
      <vt:lpstr>RL_BAL_2026E</vt:lpstr>
      <vt:lpstr>RL_BAL_2026PAO</vt:lpstr>
      <vt:lpstr>RL_BAL_2027</vt:lpstr>
      <vt:lpstr>RL_BAL_2028</vt:lpstr>
      <vt:lpstr>RL_BAL_2029</vt:lpstr>
      <vt:lpstr>RL_BAL_2T2027</vt:lpstr>
      <vt:lpstr>RL_BAL_3T2027</vt:lpstr>
      <vt:lpstr>VENDAS_SP_1T2027</vt:lpstr>
      <vt:lpstr>VENDAS_SP_2024</vt:lpstr>
      <vt:lpstr>VENDAS_SP_2025</vt:lpstr>
      <vt:lpstr>VENDAS_SP_2026E</vt:lpstr>
      <vt:lpstr>VENDAS_SP_2026PAO</vt:lpstr>
      <vt:lpstr>VENDAS_SP_2027</vt:lpstr>
      <vt:lpstr>VENDAS_SP_2028</vt:lpstr>
      <vt:lpstr>VENDAS_SP_2029</vt:lpstr>
      <vt:lpstr>VENDAS_SP_2T2027</vt:lpstr>
      <vt:lpstr>VENDAS_SP_3T2027</vt:lpstr>
      <vt:lpstr>VN_2024</vt:lpstr>
      <vt:lpstr>VN_2025</vt:lpstr>
      <vt:lpstr>VN_2026E</vt:lpstr>
      <vt:lpstr>VN_2026PAO</vt:lpstr>
      <vt:lpstr>VN_2027</vt:lpstr>
      <vt:lpstr>VN_2028</vt:lpstr>
      <vt:lpstr>VN_2029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Isabel C. Macedo</dc:creator>
  <cp:lastModifiedBy>Joana Isabel C. Macedo</cp:lastModifiedBy>
  <dcterms:created xsi:type="dcterms:W3CDTF">2023-10-03T14:47:14Z</dcterms:created>
  <dcterms:modified xsi:type="dcterms:W3CDTF">2026-09-10T14:11:19Z</dcterms:modified>
</cp:coreProperties>
</file>